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defaultThemeVersion="124226"/>
  <mc:AlternateContent xmlns:mc="http://schemas.openxmlformats.org/markup-compatibility/2006">
    <mc:Choice Requires="x15">
      <x15ac:absPath xmlns:x15ac="http://schemas.microsoft.com/office/spreadsheetml/2010/11/ac" url="I:\dcTaxFiles\Clients\Artistic Renovations\Financials\"/>
    </mc:Choice>
  </mc:AlternateContent>
  <xr:revisionPtr revIDLastSave="0" documentId="13_ncr:1_{FA343891-C0E6-4766-824A-B63C638ED3E3}" xr6:coauthVersionLast="47" xr6:coauthVersionMax="47" xr10:uidLastSave="{00000000-0000-0000-0000-000000000000}"/>
  <bookViews>
    <workbookView xWindow="-120" yWindow="-120" windowWidth="29040" windowHeight="15720" activeTab="2" xr2:uid="{00000000-000D-0000-FFFF-FFFF00000000}"/>
  </bookViews>
  <sheets>
    <sheet name="P&amp;Ls" sheetId="1" r:id="rId1"/>
    <sheet name="Personal 433" sheetId="4" r:id="rId2"/>
    <sheet name="Business 433" sheetId="6" r:id="rId3"/>
    <sheet name="9297" sheetId="2" r:id="rId4"/>
    <sheet name="Income" sheetId="3" r:id="rId5"/>
    <sheet name="Sheet1" sheetId="5" r:id="rId6"/>
    <sheet name="DataSheet" sheetId="7" r:id="rId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29" i="6" l="1"/>
  <c r="AR25" i="1"/>
  <c r="AR14" i="1"/>
  <c r="AR13" i="1"/>
  <c r="M30" i="6"/>
  <c r="AL43" i="1"/>
  <c r="M5" i="6"/>
  <c r="M22" i="6"/>
  <c r="M21" i="6"/>
  <c r="M20" i="6"/>
  <c r="M19" i="6"/>
  <c r="M18" i="6"/>
  <c r="M17" i="6"/>
  <c r="M16" i="6"/>
  <c r="M15" i="6"/>
  <c r="M14" i="6"/>
  <c r="M4" i="6"/>
  <c r="M6" i="6"/>
  <c r="M7" i="6"/>
  <c r="M8" i="6"/>
  <c r="M9" i="6"/>
  <c r="M10" i="6"/>
  <c r="M11" i="6"/>
  <c r="M12" i="6"/>
  <c r="M3" i="6"/>
  <c r="AL32" i="1"/>
  <c r="AM49" i="1"/>
  <c r="AL48" i="1"/>
  <c r="AM48" i="1" s="1"/>
  <c r="AM47" i="1"/>
  <c r="AM41" i="1"/>
  <c r="AM40" i="1"/>
  <c r="AM39" i="1"/>
  <c r="AM38" i="1"/>
  <c r="AM37" i="1"/>
  <c r="AM36" i="1"/>
  <c r="AM35" i="1"/>
  <c r="AM34" i="1"/>
  <c r="AM33" i="1"/>
  <c r="AM31" i="1"/>
  <c r="AM30" i="1"/>
  <c r="AM29" i="1"/>
  <c r="AM26" i="1"/>
  <c r="AM25" i="1"/>
  <c r="AM24" i="1"/>
  <c r="AM23" i="1"/>
  <c r="AM22" i="1"/>
  <c r="AM21" i="1"/>
  <c r="AM20" i="1"/>
  <c r="AM19" i="1"/>
  <c r="AL15" i="1"/>
  <c r="AM15" i="1" s="1"/>
  <c r="AM14" i="1"/>
  <c r="AM13" i="1"/>
  <c r="AM12" i="1"/>
  <c r="AM11" i="1"/>
  <c r="AM10" i="1"/>
  <c r="AL8" i="1"/>
  <c r="AM7" i="1"/>
  <c r="M13" i="6" l="1"/>
  <c r="M31" i="6" s="1"/>
  <c r="AM43" i="1"/>
  <c r="AM32" i="1"/>
  <c r="AL16" i="1"/>
  <c r="AL44" i="1" s="1"/>
  <c r="AM8" i="1"/>
  <c r="AM16" i="1" l="1"/>
  <c r="AL50" i="1"/>
  <c r="AM50" i="1" s="1"/>
  <c r="AM44" i="1"/>
  <c r="AF49" i="1"/>
  <c r="AE48" i="1"/>
  <c r="AF48" i="1" s="1"/>
  <c r="AF47" i="1"/>
  <c r="AF41" i="1"/>
  <c r="AF40" i="1"/>
  <c r="AF39" i="1"/>
  <c r="AF38" i="1"/>
  <c r="AF37" i="1"/>
  <c r="AF36" i="1"/>
  <c r="AF35" i="1"/>
  <c r="AF34" i="1"/>
  <c r="AF33" i="1"/>
  <c r="AE32" i="1"/>
  <c r="AE43" i="1" s="1"/>
  <c r="AF43" i="1" s="1"/>
  <c r="AF31" i="1"/>
  <c r="AF30" i="1"/>
  <c r="AF29" i="1"/>
  <c r="AF26" i="1"/>
  <c r="AF25" i="1"/>
  <c r="AF24" i="1"/>
  <c r="AF23" i="1"/>
  <c r="AF22" i="1"/>
  <c r="AF21" i="1"/>
  <c r="AF20" i="1"/>
  <c r="AF19" i="1"/>
  <c r="AE15" i="1"/>
  <c r="AF15" i="1" s="1"/>
  <c r="AF14" i="1"/>
  <c r="AF13" i="1"/>
  <c r="AF12" i="1"/>
  <c r="AF11" i="1"/>
  <c r="AF10" i="1"/>
  <c r="AE8" i="1"/>
  <c r="AF8" i="1" s="1"/>
  <c r="AF7" i="1"/>
  <c r="R15" i="3"/>
  <c r="X32" i="1"/>
  <c r="X43" i="1" s="1"/>
  <c r="Q8" i="1"/>
  <c r="Q15" i="1"/>
  <c r="R15" i="1" s="1"/>
  <c r="Q42" i="1"/>
  <c r="Q43" i="1" s="1"/>
  <c r="R43" i="1" s="1"/>
  <c r="Q47" i="1"/>
  <c r="X48" i="1"/>
  <c r="Y48" i="1" s="1"/>
  <c r="I4" i="6"/>
  <c r="I10" i="6"/>
  <c r="I12" i="6"/>
  <c r="I20" i="6"/>
  <c r="I21" i="6"/>
  <c r="I22" i="6"/>
  <c r="X8" i="1"/>
  <c r="Y49" i="1"/>
  <c r="Y47" i="1"/>
  <c r="Y41" i="1"/>
  <c r="Y40" i="1"/>
  <c r="Y39" i="1"/>
  <c r="I6" i="6" s="1"/>
  <c r="Y38" i="1"/>
  <c r="Y37" i="1"/>
  <c r="I19" i="6" s="1"/>
  <c r="Y36" i="1"/>
  <c r="Y35" i="1"/>
  <c r="I7" i="6" s="1"/>
  <c r="Y34" i="1"/>
  <c r="Y33" i="1"/>
  <c r="Y31" i="1"/>
  <c r="Y30" i="1"/>
  <c r="Y29" i="1"/>
  <c r="Y26" i="1"/>
  <c r="Y25" i="1"/>
  <c r="Y24" i="1"/>
  <c r="Y23" i="1"/>
  <c r="Y22" i="1"/>
  <c r="I17" i="6" s="1"/>
  <c r="Y21" i="1"/>
  <c r="I9" i="6" s="1"/>
  <c r="Y20" i="1"/>
  <c r="Y19" i="1"/>
  <c r="I15" i="6" s="1"/>
  <c r="X15" i="1"/>
  <c r="Y15" i="1" s="1"/>
  <c r="Y14" i="1"/>
  <c r="Y13" i="1"/>
  <c r="Y12" i="1"/>
  <c r="Y11" i="1"/>
  <c r="Y10" i="1"/>
  <c r="Y8" i="1"/>
  <c r="I29" i="6" s="1"/>
  <c r="Y7" i="1"/>
  <c r="R7" i="1"/>
  <c r="F29" i="6" s="1"/>
  <c r="F4" i="6"/>
  <c r="F10" i="6"/>
  <c r="F12" i="6"/>
  <c r="F20" i="6"/>
  <c r="F21" i="6"/>
  <c r="F22" i="6"/>
  <c r="C4" i="6"/>
  <c r="C10" i="6"/>
  <c r="C12" i="6"/>
  <c r="C20" i="6"/>
  <c r="C21" i="6"/>
  <c r="C22" i="6"/>
  <c r="G2" i="5"/>
  <c r="C57" i="5"/>
  <c r="C68" i="5" s="1"/>
  <c r="C69" i="5" s="1"/>
  <c r="D11" i="5"/>
  <c r="R16" i="3"/>
  <c r="S2" i="5"/>
  <c r="V2" i="5"/>
  <c r="Y2" i="5"/>
  <c r="P2" i="5"/>
  <c r="M2" i="5"/>
  <c r="J2" i="5"/>
  <c r="K16" i="3"/>
  <c r="P16" i="3"/>
  <c r="F16" i="3"/>
  <c r="P15" i="3"/>
  <c r="K15" i="3"/>
  <c r="F15" i="3"/>
  <c r="R9" i="1"/>
  <c r="R10" i="1"/>
  <c r="R11" i="1"/>
  <c r="F3" i="6" s="1"/>
  <c r="R12" i="1"/>
  <c r="R13" i="1"/>
  <c r="R14" i="1"/>
  <c r="R17" i="1"/>
  <c r="R18" i="1"/>
  <c r="R19" i="1"/>
  <c r="R20" i="1"/>
  <c r="F16" i="6" s="1"/>
  <c r="R21" i="1"/>
  <c r="F9" i="6" s="1"/>
  <c r="R22" i="1"/>
  <c r="R23" i="1"/>
  <c r="R24" i="1"/>
  <c r="R25" i="1"/>
  <c r="F18" i="6" s="1"/>
  <c r="R26" i="1"/>
  <c r="R27" i="1"/>
  <c r="R28" i="1"/>
  <c r="R29" i="1"/>
  <c r="R30" i="1"/>
  <c r="R31" i="1"/>
  <c r="R32" i="1"/>
  <c r="R33" i="1"/>
  <c r="R34" i="1"/>
  <c r="R35" i="1"/>
  <c r="R36" i="1"/>
  <c r="R37" i="1"/>
  <c r="F19" i="6" s="1"/>
  <c r="R38" i="1"/>
  <c r="R39" i="1"/>
  <c r="R40" i="1"/>
  <c r="R41" i="1"/>
  <c r="R42" i="1"/>
  <c r="R45" i="1"/>
  <c r="R46" i="1"/>
  <c r="R47" i="1"/>
  <c r="R48" i="1"/>
  <c r="F52" i="4"/>
  <c r="D52" i="4"/>
  <c r="E51" i="4"/>
  <c r="F51" i="4"/>
  <c r="D51" i="4"/>
  <c r="D16" i="4"/>
  <c r="D8" i="4"/>
  <c r="E8" i="4"/>
  <c r="P13" i="3"/>
  <c r="K13" i="3"/>
  <c r="F13" i="3"/>
  <c r="P12" i="3"/>
  <c r="K12" i="3"/>
  <c r="F12" i="3"/>
  <c r="P11" i="3"/>
  <c r="K11" i="3"/>
  <c r="F11" i="3"/>
  <c r="P10" i="3"/>
  <c r="K10" i="3"/>
  <c r="F10" i="3"/>
  <c r="P9" i="3"/>
  <c r="K9" i="3"/>
  <c r="F9" i="3"/>
  <c r="P8" i="3"/>
  <c r="K8" i="3"/>
  <c r="F8" i="3"/>
  <c r="P7" i="3"/>
  <c r="K7" i="3"/>
  <c r="F7" i="3"/>
  <c r="J15" i="1"/>
  <c r="J16" i="1" s="1"/>
  <c r="K16" i="1" s="1"/>
  <c r="K8" i="1"/>
  <c r="K10" i="1"/>
  <c r="K11" i="1"/>
  <c r="K12" i="1"/>
  <c r="C5" i="6" s="1"/>
  <c r="K13" i="1"/>
  <c r="C14" i="6" s="1"/>
  <c r="K14" i="1"/>
  <c r="K19" i="1"/>
  <c r="C15" i="6" s="1"/>
  <c r="K20" i="1"/>
  <c r="C16" i="6" s="1"/>
  <c r="K21" i="1"/>
  <c r="C9" i="6" s="1"/>
  <c r="K22" i="1"/>
  <c r="C17" i="6" s="1"/>
  <c r="K23" i="1"/>
  <c r="K24" i="1"/>
  <c r="K25" i="1"/>
  <c r="C8" i="6" s="1"/>
  <c r="K26" i="1"/>
  <c r="K29" i="1"/>
  <c r="K30" i="1"/>
  <c r="K31" i="1"/>
  <c r="K32" i="1"/>
  <c r="K33" i="1"/>
  <c r="K34" i="1"/>
  <c r="K35" i="1"/>
  <c r="C7" i="6" s="1"/>
  <c r="K36" i="1"/>
  <c r="K37" i="1"/>
  <c r="C19" i="6" s="1"/>
  <c r="K38" i="1"/>
  <c r="K39" i="1"/>
  <c r="C6" i="6" s="1"/>
  <c r="K40" i="1"/>
  <c r="K41" i="1"/>
  <c r="K43" i="1"/>
  <c r="K44" i="1"/>
  <c r="K47" i="1"/>
  <c r="K48" i="1"/>
  <c r="K49" i="1"/>
  <c r="K50" i="1"/>
  <c r="K7" i="1"/>
  <c r="C30" i="1"/>
  <c r="C31" i="1" s="1"/>
  <c r="C25" i="1"/>
  <c r="AG21" i="1" l="1"/>
  <c r="AG31" i="1"/>
  <c r="AG12" i="1"/>
  <c r="AG23" i="1"/>
  <c r="AG33" i="1"/>
  <c r="C18" i="6"/>
  <c r="C13" i="6" s="1"/>
  <c r="C11" i="6"/>
  <c r="AG24" i="1"/>
  <c r="I18" i="6"/>
  <c r="AG25" i="1"/>
  <c r="Z25" i="1"/>
  <c r="AG19" i="1"/>
  <c r="AG37" i="1"/>
  <c r="AG30" i="1"/>
  <c r="AN22" i="1"/>
  <c r="AN29" i="1"/>
  <c r="AN20" i="1"/>
  <c r="AN19" i="1"/>
  <c r="AN30" i="1"/>
  <c r="AN11" i="1"/>
  <c r="AN26" i="1"/>
  <c r="AN24" i="1"/>
  <c r="AN38" i="1"/>
  <c r="AN43" i="1"/>
  <c r="AN25" i="1"/>
  <c r="AN35" i="1"/>
  <c r="AN12" i="1"/>
  <c r="AN39" i="1"/>
  <c r="AN36" i="1"/>
  <c r="AN40" i="1"/>
  <c r="AN31" i="1"/>
  <c r="AN10" i="1"/>
  <c r="AN13" i="1"/>
  <c r="AN37" i="1"/>
  <c r="AN23" i="1"/>
  <c r="AN14" i="1"/>
  <c r="AN34" i="1"/>
  <c r="AN33" i="1"/>
  <c r="AN15" i="1"/>
  <c r="AN21" i="1"/>
  <c r="AN41" i="1"/>
  <c r="Z20" i="1"/>
  <c r="Z26" i="1"/>
  <c r="Z35" i="1"/>
  <c r="AG15" i="1"/>
  <c r="AG41" i="1"/>
  <c r="Z10" i="1"/>
  <c r="Z29" i="1"/>
  <c r="Z36" i="1"/>
  <c r="AG36" i="1"/>
  <c r="AG35" i="1"/>
  <c r="Z11" i="1"/>
  <c r="Z21" i="1"/>
  <c r="Z30" i="1"/>
  <c r="Z37" i="1"/>
  <c r="I8" i="6"/>
  <c r="AG10" i="1"/>
  <c r="L31" i="1"/>
  <c r="Z12" i="1"/>
  <c r="Z22" i="1"/>
  <c r="Z38" i="1"/>
  <c r="I16" i="6"/>
  <c r="AG11" i="1"/>
  <c r="C29" i="6"/>
  <c r="Z13" i="1"/>
  <c r="Z23" i="1"/>
  <c r="Z31" i="1"/>
  <c r="I3" i="6"/>
  <c r="AG20" i="1"/>
  <c r="AG43" i="1"/>
  <c r="AG38" i="1"/>
  <c r="L43" i="1"/>
  <c r="L24" i="1"/>
  <c r="Z14" i="1"/>
  <c r="Z24" i="1"/>
  <c r="Z33" i="1"/>
  <c r="Z39" i="1"/>
  <c r="I14" i="6"/>
  <c r="I13" i="6" s="1"/>
  <c r="I5" i="6"/>
  <c r="Q16" i="1"/>
  <c r="R16" i="1" s="1"/>
  <c r="AG39" i="1"/>
  <c r="Z15" i="1"/>
  <c r="Z34" i="1"/>
  <c r="Z40" i="1"/>
  <c r="AG13" i="1"/>
  <c r="AG26" i="1"/>
  <c r="AG40" i="1"/>
  <c r="L34" i="1"/>
  <c r="L12" i="1"/>
  <c r="L40" i="1"/>
  <c r="Z19" i="1"/>
  <c r="Z41" i="1"/>
  <c r="I11" i="6"/>
  <c r="AG14" i="1"/>
  <c r="AG22" i="1"/>
  <c r="AG29" i="1"/>
  <c r="AG34" i="1"/>
  <c r="AN32" i="1"/>
  <c r="AE16" i="1"/>
  <c r="AF32" i="1"/>
  <c r="AG32" i="1" s="1"/>
  <c r="Y43" i="1"/>
  <c r="Z43" i="1" s="1"/>
  <c r="Y32" i="1"/>
  <c r="Z32" i="1" s="1"/>
  <c r="Q49" i="1"/>
  <c r="R49" i="1" s="1"/>
  <c r="F11" i="6"/>
  <c r="R8" i="1"/>
  <c r="S25" i="1" s="1"/>
  <c r="F8" i="6"/>
  <c r="F17" i="6"/>
  <c r="F7" i="6"/>
  <c r="F6" i="6"/>
  <c r="F14" i="6"/>
  <c r="F5" i="6"/>
  <c r="X16" i="1"/>
  <c r="Y16" i="1" s="1"/>
  <c r="C3" i="6"/>
  <c r="L41" i="1"/>
  <c r="L33" i="1"/>
  <c r="L23" i="1"/>
  <c r="F24" i="3"/>
  <c r="F19" i="3"/>
  <c r="F20" i="3"/>
  <c r="L32" i="1"/>
  <c r="L30" i="1"/>
  <c r="L29" i="1"/>
  <c r="L19" i="1"/>
  <c r="L38" i="1"/>
  <c r="L36" i="1"/>
  <c r="L14" i="1"/>
  <c r="L25" i="1"/>
  <c r="L10" i="1"/>
  <c r="L22" i="1"/>
  <c r="L21" i="1"/>
  <c r="L11" i="1"/>
  <c r="L20" i="1"/>
  <c r="L37" i="1"/>
  <c r="L13" i="1"/>
  <c r="L39" i="1"/>
  <c r="L26" i="1"/>
  <c r="L35" i="1"/>
  <c r="K15" i="1"/>
  <c r="L15" i="1" s="1"/>
  <c r="J3" i="6" l="1"/>
  <c r="J5" i="6" s="1"/>
  <c r="X44" i="1"/>
  <c r="AF16" i="1"/>
  <c r="AE44" i="1"/>
  <c r="X50" i="1"/>
  <c r="Y50" i="1" s="1"/>
  <c r="Y44" i="1"/>
  <c r="S14" i="1"/>
  <c r="S10" i="1"/>
  <c r="S36" i="1"/>
  <c r="S19" i="1"/>
  <c r="S28" i="1"/>
  <c r="S29" i="1"/>
  <c r="S47" i="1"/>
  <c r="S43" i="1"/>
  <c r="S30" i="1"/>
  <c r="S46" i="1"/>
  <c r="S49" i="1"/>
  <c r="S22" i="1"/>
  <c r="S34" i="1"/>
  <c r="S42" i="1"/>
  <c r="S12" i="1"/>
  <c r="S23" i="1"/>
  <c r="S31" i="1"/>
  <c r="S35" i="1"/>
  <c r="S37" i="1"/>
  <c r="S21" i="1"/>
  <c r="S11" i="1"/>
  <c r="S20" i="1"/>
  <c r="S13" i="1"/>
  <c r="S39" i="1"/>
  <c r="S24" i="1"/>
  <c r="S38" i="1"/>
  <c r="S33" i="1"/>
  <c r="S48" i="1"/>
  <c r="S40" i="1"/>
  <c r="S41" i="1"/>
  <c r="S15" i="1"/>
  <c r="F13" i="6"/>
  <c r="F30" i="6" s="1"/>
  <c r="F31" i="6" s="1"/>
  <c r="R44" i="1"/>
  <c r="S16" i="1"/>
  <c r="I30" i="6"/>
  <c r="I31" i="6" s="1"/>
  <c r="C30" i="6"/>
  <c r="C31" i="6" s="1"/>
  <c r="F21" i="3"/>
  <c r="AE50" i="1" l="1"/>
  <c r="AF50" i="1" s="1"/>
  <c r="AF44" i="1"/>
  <c r="F22" i="3"/>
  <c r="F33" i="3" s="1"/>
  <c r="F32" i="3"/>
  <c r="C37" i="1"/>
</calcChain>
</file>

<file path=xl/sharedStrings.xml><?xml version="1.0" encoding="utf-8"?>
<sst xmlns="http://schemas.openxmlformats.org/spreadsheetml/2006/main" count="732" uniqueCount="189">
  <si>
    <t xml:space="preserve">Ordinary Income/Expense </t>
  </si>
  <si>
    <t>Total Income</t>
  </si>
  <si>
    <t>Cost of Goods Sold</t>
  </si>
  <si>
    <t>Other Income/Expense</t>
  </si>
  <si>
    <t xml:space="preserve"> Other Expense</t>
  </si>
  <si>
    <t>Total Expense</t>
  </si>
  <si>
    <t>Net Ordinary Income</t>
  </si>
  <si>
    <t xml:space="preserve">Net Other Income </t>
  </si>
  <si>
    <t xml:space="preserve">Net Income </t>
  </si>
  <si>
    <t xml:space="preserve">Total Other Expense </t>
  </si>
  <si>
    <t>Artistic Renovations of Ohio. LLC</t>
  </si>
  <si>
    <t>January through December 2025</t>
  </si>
  <si>
    <t>Jan - Dec 25</t>
  </si>
  <si>
    <t>Profit &amp; Loss</t>
  </si>
  <si>
    <r>
      <rPr>
        <sz val="10"/>
        <color rgb="FF080808"/>
        <rFont val="Univers"/>
        <family val="2"/>
      </rPr>
      <t>Total COGS</t>
    </r>
  </si>
  <si>
    <r>
      <rPr>
        <sz val="10"/>
        <color rgb="FF090909"/>
        <rFont val="Univers"/>
        <family val="2"/>
      </rPr>
      <t>Gross Profit</t>
    </r>
  </si>
  <si>
    <t>Total 63300</t>
  </si>
  <si>
    <t>Construction Income</t>
  </si>
  <si>
    <t>Bond Expense</t>
  </si>
  <si>
    <t>Construction Materials Co...</t>
  </si>
  <si>
    <t>Subcontractors Expense</t>
  </si>
  <si>
    <t>Advertising and Promotion</t>
  </si>
  <si>
    <t>Auto and Truck Expenses</t>
  </si>
  <si>
    <t>Gas</t>
  </si>
  <si>
    <t>Bank Service Charges</t>
  </si>
  <si>
    <t>Dues and Subscriptions</t>
  </si>
  <si>
    <t>Insurance Expense</t>
  </si>
  <si>
    <t>Health Insurance</t>
  </si>
  <si>
    <t>Insurance Expense - Ot...</t>
  </si>
  <si>
    <t>Meals and Entertainment</t>
  </si>
  <si>
    <t>Payroll Expenses</t>
  </si>
  <si>
    <t>Telephone Expense</t>
  </si>
  <si>
    <t>Utilities</t>
  </si>
  <si>
    <t>Tax Withholding</t>
  </si>
  <si>
    <t>68000</t>
  </si>
  <si>
    <t>Ordinary Income/Expense</t>
  </si>
  <si>
    <t>Income</t>
  </si>
  <si>
    <t>Total COGS</t>
  </si>
  <si>
    <t>Gross Profit</t>
  </si>
  <si>
    <t>Expense</t>
  </si>
  <si>
    <t>Other Expense</t>
  </si>
  <si>
    <t>Total Other Expense</t>
  </si>
  <si>
    <t>Net Other Income</t>
  </si>
  <si>
    <t>Net Income</t>
  </si>
  <si>
    <t>Jan - Dec 24</t>
  </si>
  <si>
    <t>Construction Materials Costs</t>
  </si>
  <si>
    <t>Tools and Small Equipment</t>
  </si>
  <si>
    <t>Worker's Compensation lnsura ...</t>
  </si>
  <si>
    <t>Business Licenses and Permits</t>
  </si>
  <si>
    <t>Charitable Contributions</t>
  </si>
  <si>
    <t>Computer and Internet Expenses</t>
  </si>
  <si>
    <t>Life and Disability Insurance</t>
  </si>
  <si>
    <t>Insurance Expense - Other</t>
  </si>
  <si>
    <t>Miscellaneous Expense</t>
  </si>
  <si>
    <t>Office Supplies</t>
  </si>
  <si>
    <t>Postage and Delivery</t>
  </si>
  <si>
    <t>Professional Fees</t>
  </si>
  <si>
    <t>Rent Expense</t>
  </si>
  <si>
    <t>Materials Purchased</t>
  </si>
  <si>
    <t>Inventory Purchased</t>
  </si>
  <si>
    <t>Gross Wages &amp; Salaries</t>
  </si>
  <si>
    <t>Rent</t>
  </si>
  <si>
    <t>Supplies</t>
  </si>
  <si>
    <t>Utilities/Telephone</t>
  </si>
  <si>
    <t>Vehicle Gas/Oil</t>
  </si>
  <si>
    <t>Repairs &amp; Maintenance</t>
  </si>
  <si>
    <t>Insurance</t>
  </si>
  <si>
    <t>Current Taxes</t>
  </si>
  <si>
    <t>Other Expenses</t>
  </si>
  <si>
    <t>Other Tools</t>
  </si>
  <si>
    <t>Auto &amp; Truck Exp</t>
  </si>
  <si>
    <t>Bank Fees</t>
  </si>
  <si>
    <t>License/Permits/Pro Subs.</t>
  </si>
  <si>
    <t>Advertising/Marketining</t>
  </si>
  <si>
    <t>Postage/Shipping</t>
  </si>
  <si>
    <t>January through December 2024</t>
  </si>
  <si>
    <t>Monthly</t>
  </si>
  <si>
    <t>Net</t>
  </si>
  <si>
    <t>Signed and completed Forms 433-A and 433-B Collection Information Statements</t>
  </si>
  <si>
    <t>I will do this with you</t>
  </si>
  <si>
    <t>Bank statements from  07-01-2024 to present, with copies of cancelled checks )</t>
  </si>
  <si>
    <t>Funding Sources (line of credit, etc.)</t>
  </si>
  <si>
    <t xml:space="preserve">Personal bank statements from 07-01-2024 to present </t>
  </si>
  <si>
    <t>Personal wage statements from 07-01-2024 to present</t>
  </si>
  <si>
    <t>List of officers/directors/major shareholders and names of anyone listed on the Corporation's bank signature card. Include their SSN, title, home address and telephone number.</t>
  </si>
  <si>
    <t>Kenneth A Perrin, 286-58-7642, Member
479 Elm Court, Seven Hills, OH 44131
(423) 482-9737</t>
  </si>
  <si>
    <t>Copy of bank signature cards in effect during the time of delinquency.</t>
  </si>
  <si>
    <t>List of any real property owned by the business/ proprietor(s) with mortgage &amp; payoff documentation.</t>
  </si>
  <si>
    <t>N/A</t>
  </si>
  <si>
    <t>List of Accounts Receivable with address to include current contract jobs and loans. Include an age analysis of each account. If no receivables, include a list of major clients.</t>
  </si>
  <si>
    <t>None</t>
  </si>
  <si>
    <t>List of vehicles owned by the business and officers with loan documentation and payoff.</t>
  </si>
  <si>
    <t>List of machinery and merchandise (inventory) and copies of documents, i.e., Uniform Commercial Codes showing any encumbrances.</t>
  </si>
  <si>
    <t>List of Suppliers</t>
  </si>
  <si>
    <t xml:space="preserve">Copies of documents verifying business expenses, i.e., telephone, insurance, supplies, etc.  </t>
  </si>
  <si>
    <t>Current Profit &amp; Loss statement</t>
  </si>
  <si>
    <t xml:space="preserve">List of all Merchant Accounts and copies of the most recent Merchant Account statements </t>
  </si>
  <si>
    <t>does not accept credit cards</t>
  </si>
  <si>
    <t>Employment  tax deposits are required. Electronic deposit is required and Notice 931 is enclosed for guidance. You must provide proof of timely deposits to the Revenue Officer in the form of a receipt copy.</t>
  </si>
  <si>
    <t>Please send me these made in 2025 and when you make deposits going forward.</t>
  </si>
  <si>
    <t>FNB 1005</t>
  </si>
  <si>
    <t>FNB 1039</t>
  </si>
  <si>
    <t>PNC Bank</t>
  </si>
  <si>
    <t>Dep/Cred</t>
  </si>
  <si>
    <t>T-fers, returns</t>
  </si>
  <si>
    <t>Act. Dep.</t>
  </si>
  <si>
    <t>Actual personal income</t>
  </si>
  <si>
    <t>-</t>
  </si>
  <si>
    <t>Food, clothing, misc.</t>
  </si>
  <si>
    <t>Food</t>
  </si>
  <si>
    <t>Housekeeping</t>
  </si>
  <si>
    <t>Apparel &amp; Services</t>
  </si>
  <si>
    <t>Personal Care</t>
  </si>
  <si>
    <t>Products &amp; Services</t>
  </si>
  <si>
    <t>Miscellaneous</t>
  </si>
  <si>
    <t>Housing and utilities</t>
  </si>
  <si>
    <t>Expenses</t>
  </si>
  <si>
    <t>ACTUAL</t>
  </si>
  <si>
    <t>AMOUNT</t>
  </si>
  <si>
    <t>IRS</t>
  </si>
  <si>
    <t>ALLOWED</t>
  </si>
  <si>
    <t>PROPOSED</t>
  </si>
  <si>
    <t>FOR OIC</t>
  </si>
  <si>
    <t>Mortgage</t>
  </si>
  <si>
    <t>Electric, Oil/Gas, Water/Trash</t>
  </si>
  <si>
    <t>Real Estate Taxes</t>
  </si>
  <si>
    <t>Maintenance &amp; Repairs</t>
  </si>
  <si>
    <t xml:space="preserve">Telephone/Cell, Cable/Internet </t>
  </si>
  <si>
    <t>Vehicle 1 lease/loan payment</t>
  </si>
  <si>
    <t>Vehicle 2 lease/loan payment</t>
  </si>
  <si>
    <t>Vehicle operating costs</t>
  </si>
  <si>
    <t>Health insurance</t>
  </si>
  <si>
    <t>Out of pocket health</t>
  </si>
  <si>
    <t>Child/dependent care</t>
  </si>
  <si>
    <t>Life insurance premiums</t>
  </si>
  <si>
    <t>    Policy amount </t>
  </si>
  <si>
    <t>Union dues</t>
  </si>
  <si>
    <t>Student loans</t>
  </si>
  <si>
    <t>Wage taxes</t>
  </si>
  <si>
    <t>FICA taxes</t>
  </si>
  <si>
    <t>Other Withholdings</t>
  </si>
  <si>
    <t>Estimated tax payments</t>
  </si>
  <si>
    <t>Other taxes</t>
  </si>
  <si>
    <t>Secured debts</t>
  </si>
  <si>
    <t>Delinquent state/local taxes</t>
  </si>
  <si>
    <t>    Total owed </t>
  </si>
  <si>
    <t>Accounting and legal fees</t>
  </si>
  <si>
    <t>Tax Preparation</t>
  </si>
  <si>
    <t>Tax Resolution</t>
  </si>
  <si>
    <t>Charitable deductions</t>
  </si>
  <si>
    <t>Educational expenses</t>
  </si>
  <si>
    <t>Involuntary deductions</t>
  </si>
  <si>
    <t>Credit cards</t>
  </si>
  <si>
    <t>Total</t>
  </si>
  <si>
    <t>Income:</t>
  </si>
  <si>
    <t>Jul - Dec 24</t>
  </si>
  <si>
    <t>June through December 2024</t>
  </si>
  <si>
    <t>Annual Income from P&amp;L</t>
  </si>
  <si>
    <t>Semi-Annual Income P&amp;L</t>
  </si>
  <si>
    <t>Actual business income from bank statements</t>
  </si>
  <si>
    <t>6-months ending Dec 2024</t>
  </si>
  <si>
    <t>Actual Deposits</t>
  </si>
  <si>
    <t>Done</t>
  </si>
  <si>
    <t>Difference in last 6 mos:</t>
  </si>
  <si>
    <t xml:space="preserve">Anthony Perrin, </t>
  </si>
  <si>
    <t>N/A, property is rented</t>
  </si>
  <si>
    <t>hand tools</t>
  </si>
  <si>
    <t>Home Depot, Lowes</t>
  </si>
  <si>
    <t>Total Monthly Business Expenses</t>
  </si>
  <si>
    <t>Vehicle Gasoline/Oil</t>
  </si>
  <si>
    <t>Total Expenses</t>
  </si>
  <si>
    <t>Net business income</t>
  </si>
  <si>
    <t>Other</t>
  </si>
  <si>
    <t>Avg</t>
  </si>
  <si>
    <t>Ttl of Avg's</t>
  </si>
  <si>
    <t>Average</t>
  </si>
  <si>
    <t>Tfer</t>
  </si>
  <si>
    <t/>
  </si>
  <si>
    <t>2024 Annual</t>
  </si>
  <si>
    <t>2024 Jul - Dec</t>
  </si>
  <si>
    <t>%</t>
  </si>
  <si>
    <t>Category</t>
  </si>
  <si>
    <t>Categories</t>
  </si>
  <si>
    <t>July through December 2024</t>
  </si>
  <si>
    <t>(UPDATED) January through December 2024 (NEW)</t>
  </si>
  <si>
    <t>New 2024 Annual</t>
  </si>
  <si>
    <t>(UPDATED) January through December 2024 (I corrected)</t>
  </si>
  <si>
    <t>Breakdown Mat/Wage</t>
  </si>
  <si>
    <t>From 02/17/2025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</si>
</sst>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25" x14ac:knownFonts="1">
    <font>
      <sz val="10"/>
      <color rgb="FF000000"/>
      <name val="Times New Roman"/>
      <charset val="204"/>
    </font>
    <font>
      <sz val="10"/>
      <color theme="1"/>
      <name val="Univers"/>
      <family val="2"/>
    </font>
    <font>
      <sz val="10"/>
      <color theme="1"/>
      <name val="Univers"/>
      <family val="2"/>
    </font>
    <font>
      <sz val="10"/>
      <color theme="1"/>
      <name val="Univers"/>
      <family val="2"/>
    </font>
    <font>
      <sz val="10"/>
      <color rgb="FF000000"/>
      <name val="Times New Roman"/>
      <family val="1"/>
    </font>
    <font>
      <b/>
      <sz val="10"/>
      <color rgb="FF000000"/>
      <name val="Univers"/>
      <family val="2"/>
    </font>
    <font>
      <sz val="10"/>
      <color rgb="FF000000"/>
      <name val="Univers"/>
      <family val="2"/>
    </font>
    <font>
      <sz val="10"/>
      <color rgb="FF131313"/>
      <name val="Univers"/>
      <family val="2"/>
    </font>
    <font>
      <sz val="10"/>
      <color rgb="FF121212"/>
      <name val="Univers"/>
      <family val="2"/>
    </font>
    <font>
      <sz val="10"/>
      <color rgb="FF151515"/>
      <name val="Univers"/>
      <family val="2"/>
    </font>
    <font>
      <b/>
      <sz val="12"/>
      <color rgb="FF000000"/>
      <name val="Univers"/>
      <family val="2"/>
    </font>
    <font>
      <b/>
      <sz val="18"/>
      <color rgb="FF000000"/>
      <name val="Univers"/>
      <family val="2"/>
    </font>
    <font>
      <sz val="10"/>
      <name val="Univers"/>
      <family val="2"/>
    </font>
    <font>
      <sz val="10"/>
      <color rgb="FF090909"/>
      <name val="Univers"/>
      <family val="2"/>
    </font>
    <font>
      <sz val="10"/>
      <color rgb="FF080808"/>
      <name val="Univers"/>
      <family val="2"/>
    </font>
    <font>
      <sz val="11"/>
      <color rgb="FF000000"/>
      <name val="Aptos"/>
      <family val="2"/>
    </font>
    <font>
      <u val="singleAccounting"/>
      <sz val="10"/>
      <color rgb="FF000000"/>
      <name val="Univers"/>
      <family val="2"/>
    </font>
    <font>
      <u/>
      <sz val="10"/>
      <color rgb="FF000000"/>
      <name val="Univers"/>
      <family val="2"/>
    </font>
    <font>
      <sz val="10"/>
      <color rgb="FF000000"/>
      <name val="Times New Roman"/>
      <family val="1"/>
    </font>
    <font>
      <b/>
      <sz val="10"/>
      <color theme="1"/>
      <name val="Univers"/>
      <family val="2"/>
    </font>
    <font>
      <sz val="10"/>
      <color theme="1" tint="0.499984740745262"/>
      <name val="Univers"/>
      <family val="2"/>
    </font>
    <font>
      <strike/>
      <sz val="10"/>
      <color theme="1"/>
      <name val="Univers"/>
      <family val="2"/>
    </font>
    <font>
      <u val="singleAccounting"/>
      <sz val="10"/>
      <color theme="1"/>
      <name val="Univers"/>
      <family val="2"/>
    </font>
    <font>
      <i/>
      <sz val="10"/>
      <color theme="1"/>
      <name val="Univers"/>
      <family val="2"/>
    </font>
    <font>
      <u val="singleAccounting"/>
      <sz val="10"/>
      <color rgb="FF000000"/>
      <name val="Times New Roman"/>
      <family val="1"/>
    </font>
  </fonts>
  <fills count="7">
    <fill>
      <patternFill patternType="none"/>
    </fill>
    <fill>
      <patternFill patternType="gray125"/>
    </fill>
    <fill>
      <patternFill patternType="solid">
        <fgColor theme="2"/>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theme="2" tint="-0.249977111117893"/>
        <bgColor indexed="64"/>
      </patternFill>
    </fill>
    <fill>
      <patternFill patternType="solid">
        <fgColor theme="5" tint="0.79998168889431442"/>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7">
    <xf numFmtId="0" fontId="0" fillId="0" borderId="0"/>
    <xf numFmtId="44" fontId="4" fillId="0" borderId="0" applyFont="0" applyFill="0" applyBorder="0" applyAlignment="0" applyProtection="0"/>
    <xf numFmtId="9" fontId="18" fillId="0" borderId="0" applyFont="0" applyFill="0" applyBorder="0" applyAlignment="0" applyProtection="0"/>
    <xf numFmtId="0" fontId="3" fillId="0" borderId="0"/>
    <xf numFmtId="44" fontId="3" fillId="0" borderId="0" applyFont="0" applyFill="0" applyBorder="0" applyAlignment="0" applyProtection="0"/>
    <xf numFmtId="0" fontId="4" fillId="0" borderId="0"/>
    <xf numFmtId="9" fontId="4" fillId="0" borderId="0" applyFont="0" applyFill="0" applyBorder="0" applyAlignment="0" applyProtection="0"/>
  </cellStyleXfs>
  <cellXfs count="117">
    <xf numFmtId="0" fontId="0" fillId="0" borderId="0" xfId="0" applyAlignment="1">
      <alignment horizontal="left" vertical="top"/>
    </xf>
    <xf numFmtId="0" fontId="5" fillId="0" borderId="0" xfId="0" applyFont="1" applyAlignment="1">
      <alignment horizontal="left" vertical="top"/>
    </xf>
    <xf numFmtId="44" fontId="6" fillId="0" borderId="0" xfId="1" applyFont="1" applyAlignment="1">
      <alignment horizontal="left" vertical="top"/>
    </xf>
    <xf numFmtId="0" fontId="6" fillId="0" borderId="0" xfId="0" applyFont="1" applyAlignment="1">
      <alignment horizontal="left" vertical="top"/>
    </xf>
    <xf numFmtId="44" fontId="6" fillId="0" borderId="0" xfId="0" applyNumberFormat="1" applyFont="1" applyAlignment="1">
      <alignment horizontal="left" vertical="top"/>
    </xf>
    <xf numFmtId="0" fontId="20" fillId="0" borderId="0" xfId="0" applyFont="1" applyAlignment="1">
      <alignment horizontal="left" vertical="top"/>
    </xf>
    <xf numFmtId="0" fontId="3" fillId="0" borderId="0" xfId="3" applyAlignment="1">
      <alignment vertical="center"/>
    </xf>
    <xf numFmtId="14" fontId="3" fillId="0" borderId="0" xfId="3" applyNumberFormat="1" applyAlignment="1">
      <alignment vertical="center"/>
    </xf>
    <xf numFmtId="0" fontId="21" fillId="0" borderId="0" xfId="3" applyFont="1" applyAlignment="1">
      <alignment vertical="center"/>
    </xf>
    <xf numFmtId="14" fontId="21" fillId="0" borderId="0" xfId="3" applyNumberFormat="1" applyFont="1" applyAlignment="1">
      <alignment vertical="center"/>
    </xf>
    <xf numFmtId="0" fontId="3" fillId="0" borderId="0" xfId="3" applyAlignment="1">
      <alignment vertical="center" wrapText="1"/>
    </xf>
    <xf numFmtId="44" fontId="0" fillId="0" borderId="0" xfId="4" applyFont="1" applyAlignment="1">
      <alignment vertical="center"/>
    </xf>
    <xf numFmtId="0" fontId="3" fillId="0" borderId="0" xfId="3"/>
    <xf numFmtId="44" fontId="3" fillId="0" borderId="0" xfId="3" applyNumberFormat="1"/>
    <xf numFmtId="10" fontId="6" fillId="0" borderId="0" xfId="2" applyNumberFormat="1" applyFont="1" applyAlignment="1">
      <alignment horizontal="left" vertical="top"/>
    </xf>
    <xf numFmtId="44" fontId="3" fillId="0" borderId="0" xfId="1" applyFont="1"/>
    <xf numFmtId="44" fontId="4" fillId="0" borderId="0" xfId="4" applyFont="1"/>
    <xf numFmtId="44" fontId="22" fillId="0" borderId="0" xfId="3" applyNumberFormat="1" applyFont="1"/>
    <xf numFmtId="17" fontId="3" fillId="0" borderId="0" xfId="3" applyNumberFormat="1"/>
    <xf numFmtId="0" fontId="3" fillId="0" borderId="1" xfId="3" applyBorder="1"/>
    <xf numFmtId="44" fontId="6" fillId="0" borderId="0" xfId="4" applyFont="1"/>
    <xf numFmtId="0" fontId="19" fillId="0" borderId="0" xfId="3" applyFont="1"/>
    <xf numFmtId="44" fontId="19" fillId="0" borderId="0" xfId="1" applyFont="1"/>
    <xf numFmtId="44" fontId="19" fillId="0" borderId="0" xfId="3" applyNumberFormat="1" applyFont="1"/>
    <xf numFmtId="0" fontId="23" fillId="0" borderId="0" xfId="3" applyFont="1" applyAlignment="1">
      <alignment horizontal="right"/>
    </xf>
    <xf numFmtId="0" fontId="2" fillId="0" borderId="0" xfId="3" applyFont="1"/>
    <xf numFmtId="17" fontId="0" fillId="0" borderId="0" xfId="0" applyNumberFormat="1" applyAlignment="1">
      <alignment horizontal="left" vertical="top"/>
    </xf>
    <xf numFmtId="0" fontId="4" fillId="0" borderId="0" xfId="0" applyFont="1" applyAlignment="1">
      <alignment horizontal="left" vertical="top"/>
    </xf>
    <xf numFmtId="44" fontId="0" fillId="0" borderId="0" xfId="1" applyFont="1" applyAlignment="1">
      <alignment horizontal="left" vertical="top"/>
    </xf>
    <xf numFmtId="44" fontId="24" fillId="0" borderId="0" xfId="1" applyFont="1" applyAlignment="1">
      <alignment horizontal="left" vertical="top"/>
    </xf>
    <xf numFmtId="44" fontId="0" fillId="0" borderId="0" xfId="0" applyNumberFormat="1" applyAlignment="1">
      <alignment horizontal="left" vertical="top"/>
    </xf>
    <xf numFmtId="0" fontId="6" fillId="2" borderId="0" xfId="0" applyFont="1" applyFill="1" applyAlignment="1">
      <alignment horizontal="left" vertical="top"/>
    </xf>
    <xf numFmtId="0" fontId="10" fillId="2" borderId="0" xfId="0" applyFont="1" applyFill="1" applyAlignment="1">
      <alignment horizontal="center" vertical="top"/>
    </xf>
    <xf numFmtId="0" fontId="11" fillId="2" borderId="0" xfId="0" applyFont="1" applyFill="1" applyAlignment="1">
      <alignment horizontal="center" vertical="top"/>
    </xf>
    <xf numFmtId="0" fontId="5" fillId="2" borderId="0" xfId="0" applyFont="1" applyFill="1" applyAlignment="1">
      <alignment horizontal="center" vertical="top"/>
    </xf>
    <xf numFmtId="0" fontId="6" fillId="2" borderId="0" xfId="0" applyFont="1" applyFill="1" applyAlignment="1">
      <alignment vertical="top"/>
    </xf>
    <xf numFmtId="0" fontId="5" fillId="2" borderId="0" xfId="0" applyFont="1" applyFill="1" applyAlignment="1">
      <alignment vertical="top"/>
    </xf>
    <xf numFmtId="0" fontId="6" fillId="2" borderId="0" xfId="0" applyFont="1" applyFill="1" applyAlignment="1">
      <alignment vertical="top" wrapText="1"/>
    </xf>
    <xf numFmtId="0" fontId="6" fillId="2" borderId="0" xfId="0" applyFont="1" applyFill="1" applyAlignment="1">
      <alignment horizontal="left" vertical="top" wrapText="1"/>
    </xf>
    <xf numFmtId="44" fontId="6" fillId="2" borderId="0" xfId="1" applyFont="1" applyFill="1" applyAlignment="1">
      <alignment horizontal="left" vertical="top"/>
    </xf>
    <xf numFmtId="0" fontId="6" fillId="2" borderId="0" xfId="0" applyFont="1" applyFill="1" applyAlignment="1">
      <alignment horizontal="right" wrapText="1"/>
    </xf>
    <xf numFmtId="0" fontId="6" fillId="2" borderId="0" xfId="0" applyFont="1" applyFill="1" applyAlignment="1">
      <alignment horizontal="right" vertical="center" wrapText="1"/>
    </xf>
    <xf numFmtId="44" fontId="7" fillId="2" borderId="0" xfId="1" applyFont="1" applyFill="1" applyAlignment="1">
      <alignment horizontal="right" vertical="top" shrinkToFit="1"/>
    </xf>
    <xf numFmtId="44" fontId="8" fillId="2" borderId="0" xfId="1" applyFont="1" applyFill="1" applyAlignment="1">
      <alignment horizontal="right" vertical="top" shrinkToFit="1"/>
    </xf>
    <xf numFmtId="0" fontId="12" fillId="2" borderId="0" xfId="0" applyFont="1" applyFill="1" applyAlignment="1">
      <alignment vertical="top" wrapText="1"/>
    </xf>
    <xf numFmtId="44" fontId="9" fillId="2" borderId="0" xfId="1" applyFont="1" applyFill="1" applyAlignment="1">
      <alignment horizontal="right" vertical="top" shrinkToFit="1"/>
    </xf>
    <xf numFmtId="0" fontId="6" fillId="2" borderId="0" xfId="0" applyFont="1" applyFill="1" applyAlignment="1">
      <alignment horizontal="right" vertical="top"/>
    </xf>
    <xf numFmtId="0" fontId="6" fillId="3" borderId="0" xfId="0" applyFont="1" applyFill="1" applyAlignment="1">
      <alignment horizontal="left" vertical="top"/>
    </xf>
    <xf numFmtId="10" fontId="6" fillId="3" borderId="0" xfId="2" applyNumberFormat="1" applyFont="1" applyFill="1" applyAlignment="1">
      <alignment horizontal="left" vertical="top"/>
    </xf>
    <xf numFmtId="44" fontId="6" fillId="3" borderId="0" xfId="1" applyFont="1" applyFill="1" applyAlignment="1">
      <alignment horizontal="left" vertical="top"/>
    </xf>
    <xf numFmtId="0" fontId="6" fillId="3" borderId="0" xfId="0" applyFont="1" applyFill="1" applyAlignment="1">
      <alignment horizontal="right" vertical="top"/>
    </xf>
    <xf numFmtId="0" fontId="5" fillId="3" borderId="0" xfId="0" applyFont="1" applyFill="1" applyAlignment="1">
      <alignment horizontal="left" vertical="top"/>
    </xf>
    <xf numFmtId="0" fontId="17" fillId="3" borderId="0" xfId="0" applyFont="1" applyFill="1" applyAlignment="1">
      <alignment horizontal="center" vertical="top"/>
    </xf>
    <xf numFmtId="10" fontId="17" fillId="3" borderId="0" xfId="2" applyNumberFormat="1" applyFont="1" applyFill="1" applyAlignment="1">
      <alignment horizontal="center" vertical="top"/>
    </xf>
    <xf numFmtId="0" fontId="15" fillId="3" borderId="0" xfId="0" applyFont="1" applyFill="1" applyAlignment="1">
      <alignment horizontal="left" vertical="top"/>
    </xf>
    <xf numFmtId="44" fontId="16" fillId="3" borderId="0" xfId="1" applyFont="1" applyFill="1" applyAlignment="1">
      <alignment horizontal="left" vertical="top"/>
    </xf>
    <xf numFmtId="44" fontId="16" fillId="3" borderId="0" xfId="0" applyNumberFormat="1" applyFont="1" applyFill="1" applyAlignment="1">
      <alignment horizontal="left" vertical="top"/>
    </xf>
    <xf numFmtId="10" fontId="16" fillId="3" borderId="0" xfId="2" applyNumberFormat="1" applyFont="1" applyFill="1" applyAlignment="1">
      <alignment horizontal="left" vertical="top"/>
    </xf>
    <xf numFmtId="44" fontId="6" fillId="3" borderId="0" xfId="0" applyNumberFormat="1" applyFont="1" applyFill="1" applyAlignment="1">
      <alignment horizontal="left" vertical="top"/>
    </xf>
    <xf numFmtId="0" fontId="6" fillId="3" borderId="0" xfId="0" applyFont="1" applyFill="1" applyAlignment="1">
      <alignment horizontal="left" vertical="top" indent="1"/>
    </xf>
    <xf numFmtId="0" fontId="6" fillId="3" borderId="0" xfId="0" applyFont="1" applyFill="1" applyAlignment="1">
      <alignment horizontal="left" vertical="top" indent="2"/>
    </xf>
    <xf numFmtId="0" fontId="6" fillId="3" borderId="0" xfId="0" applyFont="1" applyFill="1" applyAlignment="1">
      <alignment horizontal="left" vertical="top" indent="3"/>
    </xf>
    <xf numFmtId="0" fontId="6" fillId="4" borderId="0" xfId="0" applyFont="1" applyFill="1" applyAlignment="1">
      <alignment horizontal="left" vertical="top"/>
    </xf>
    <xf numFmtId="44" fontId="6" fillId="4" borderId="0" xfId="1" applyFont="1" applyFill="1" applyAlignment="1">
      <alignment horizontal="left" vertical="top"/>
    </xf>
    <xf numFmtId="44" fontId="6" fillId="4" borderId="1" xfId="1" applyFont="1" applyFill="1" applyBorder="1" applyAlignment="1">
      <alignment horizontal="left" vertical="top"/>
    </xf>
    <xf numFmtId="44" fontId="6" fillId="4" borderId="2" xfId="1" applyFont="1" applyFill="1" applyBorder="1" applyAlignment="1">
      <alignment horizontal="left" vertical="top"/>
    </xf>
    <xf numFmtId="44" fontId="6" fillId="4" borderId="0" xfId="0" applyNumberFormat="1" applyFont="1" applyFill="1" applyAlignment="1">
      <alignment horizontal="left" vertical="top"/>
    </xf>
    <xf numFmtId="0" fontId="6" fillId="5" borderId="0" xfId="0" applyFont="1" applyFill="1" applyAlignment="1">
      <alignment horizontal="left" vertical="top"/>
    </xf>
    <xf numFmtId="10" fontId="6" fillId="5" borderId="0" xfId="2" applyNumberFormat="1" applyFont="1" applyFill="1" applyAlignment="1">
      <alignment horizontal="left" vertical="top"/>
    </xf>
    <xf numFmtId="44" fontId="6" fillId="5" borderId="0" xfId="1" applyFont="1" applyFill="1" applyAlignment="1">
      <alignment horizontal="left" vertical="top"/>
    </xf>
    <xf numFmtId="0" fontId="6" fillId="5" borderId="0" xfId="0" applyFont="1" applyFill="1" applyAlignment="1">
      <alignment horizontal="right" vertical="top"/>
    </xf>
    <xf numFmtId="0" fontId="5" fillId="5" borderId="0" xfId="0" applyFont="1" applyFill="1" applyAlignment="1">
      <alignment horizontal="left" vertical="top"/>
    </xf>
    <xf numFmtId="0" fontId="17" fillId="5" borderId="0" xfId="0" applyFont="1" applyFill="1" applyAlignment="1">
      <alignment horizontal="center" vertical="top"/>
    </xf>
    <xf numFmtId="10" fontId="17" fillId="5" borderId="0" xfId="2" applyNumberFormat="1" applyFont="1" applyFill="1" applyAlignment="1">
      <alignment horizontal="center" vertical="top"/>
    </xf>
    <xf numFmtId="0" fontId="15" fillId="5" borderId="0" xfId="0" applyFont="1" applyFill="1" applyAlignment="1">
      <alignment horizontal="left" vertical="top"/>
    </xf>
    <xf numFmtId="44" fontId="16" fillId="5" borderId="0" xfId="1" applyFont="1" applyFill="1" applyAlignment="1">
      <alignment horizontal="left" vertical="top"/>
    </xf>
    <xf numFmtId="44" fontId="16" fillId="5" borderId="0" xfId="0" applyNumberFormat="1" applyFont="1" applyFill="1" applyAlignment="1">
      <alignment horizontal="left" vertical="top"/>
    </xf>
    <xf numFmtId="10" fontId="16" fillId="5" borderId="0" xfId="2" applyNumberFormat="1" applyFont="1" applyFill="1" applyAlignment="1">
      <alignment horizontal="left" vertical="top"/>
    </xf>
    <xf numFmtId="44" fontId="6" fillId="5" borderId="0" xfId="0" applyNumberFormat="1" applyFont="1" applyFill="1" applyAlignment="1">
      <alignment horizontal="left" vertical="top"/>
    </xf>
    <xf numFmtId="0" fontId="6" fillId="5" borderId="0" xfId="0" applyFont="1" applyFill="1" applyAlignment="1">
      <alignment horizontal="left" vertical="top" indent="1"/>
    </xf>
    <xf numFmtId="0" fontId="6" fillId="5" borderId="0" xfId="0" applyFont="1" applyFill="1" applyAlignment="1">
      <alignment horizontal="left" vertical="top" indent="2"/>
    </xf>
    <xf numFmtId="0" fontId="6" fillId="5" borderId="0" xfId="0" applyFont="1" applyFill="1" applyAlignment="1">
      <alignment horizontal="left" vertical="top" indent="3"/>
    </xf>
    <xf numFmtId="0" fontId="1" fillId="0" borderId="0" xfId="3" applyFont="1" applyAlignment="1">
      <alignment vertical="center"/>
    </xf>
    <xf numFmtId="0" fontId="10" fillId="5" borderId="0" xfId="0" applyFont="1" applyFill="1" applyAlignment="1">
      <alignment horizontal="center" vertical="top"/>
    </xf>
    <xf numFmtId="0" fontId="11" fillId="5" borderId="0" xfId="0" applyFont="1" applyFill="1" applyAlignment="1">
      <alignment horizontal="center" vertical="top"/>
    </xf>
    <xf numFmtId="0" fontId="5" fillId="5" borderId="0" xfId="0" applyFont="1" applyFill="1" applyAlignment="1">
      <alignment horizontal="center" vertical="top"/>
    </xf>
    <xf numFmtId="0" fontId="10" fillId="2" borderId="0" xfId="0" applyFont="1" applyFill="1" applyAlignment="1">
      <alignment horizontal="center" vertical="top"/>
    </xf>
    <xf numFmtId="0" fontId="11" fillId="2" borderId="0" xfId="0" applyFont="1" applyFill="1" applyAlignment="1">
      <alignment horizontal="center" vertical="top"/>
    </xf>
    <xf numFmtId="0" fontId="5" fillId="2" borderId="0" xfId="0" applyFont="1" applyFill="1" applyAlignment="1">
      <alignment horizontal="center" vertical="top"/>
    </xf>
    <xf numFmtId="0" fontId="10" fillId="3" borderId="0" xfId="0" applyFont="1" applyFill="1" applyAlignment="1">
      <alignment horizontal="center" vertical="top"/>
    </xf>
    <xf numFmtId="0" fontId="11" fillId="3" borderId="0" xfId="0" applyFont="1" applyFill="1" applyAlignment="1">
      <alignment horizontal="center" vertical="top"/>
    </xf>
    <xf numFmtId="0" fontId="5" fillId="3" borderId="0" xfId="0" applyFont="1" applyFill="1" applyAlignment="1">
      <alignment horizontal="center" vertical="top"/>
    </xf>
    <xf numFmtId="0" fontId="10" fillId="4" borderId="0" xfId="0" applyFont="1" applyFill="1" applyAlignment="1">
      <alignment horizontal="center" vertical="top"/>
    </xf>
    <xf numFmtId="0" fontId="11" fillId="4" borderId="0" xfId="0" applyFont="1" applyFill="1" applyAlignment="1">
      <alignment horizontal="center" vertical="top"/>
    </xf>
    <xf numFmtId="0" fontId="5" fillId="4" borderId="0" xfId="0" applyFont="1" applyFill="1" applyAlignment="1">
      <alignment horizontal="center" vertical="top"/>
    </xf>
    <xf numFmtId="0" fontId="5" fillId="0" borderId="0" xfId="0" applyFont="1" applyAlignment="1">
      <alignment horizontal="center" vertical="top"/>
    </xf>
    <xf numFmtId="0" fontId="3" fillId="0" borderId="0" xfId="3" applyAlignment="1">
      <alignment horizontal="center" wrapText="1"/>
    </xf>
    <xf numFmtId="0" fontId="19" fillId="0" borderId="0" xfId="3" applyFont="1" applyAlignment="1">
      <alignment horizontal="center"/>
    </xf>
    <xf numFmtId="0" fontId="6" fillId="0" borderId="0" xfId="0" applyFont="1" applyAlignment="1">
      <alignment horizontal="center" vertical="top" wrapText="1"/>
    </xf>
    <xf numFmtId="0" fontId="6" fillId="6" borderId="0" xfId="0" applyFont="1" applyFill="1" applyAlignment="1">
      <alignment horizontal="left" vertical="top"/>
    </xf>
    <xf numFmtId="0" fontId="10" fillId="6" borderId="0" xfId="0" applyFont="1" applyFill="1" applyAlignment="1">
      <alignment horizontal="center" vertical="top"/>
    </xf>
    <xf numFmtId="10" fontId="6" fillId="6" borderId="0" xfId="2" applyNumberFormat="1" applyFont="1" applyFill="1" applyAlignment="1">
      <alignment horizontal="left" vertical="top"/>
    </xf>
    <xf numFmtId="0" fontId="11" fillId="6" borderId="0" xfId="0" applyFont="1" applyFill="1" applyAlignment="1">
      <alignment horizontal="center" vertical="top"/>
    </xf>
    <xf numFmtId="0" fontId="5" fillId="6" borderId="0" xfId="0" applyFont="1" applyFill="1" applyAlignment="1">
      <alignment horizontal="center" vertical="top"/>
    </xf>
    <xf numFmtId="44" fontId="6" fillId="6" borderId="0" xfId="1" applyFont="1" applyFill="1" applyAlignment="1">
      <alignment horizontal="left" vertical="top"/>
    </xf>
    <xf numFmtId="0" fontId="6" fillId="6" borderId="0" xfId="0" applyFont="1" applyFill="1" applyAlignment="1">
      <alignment horizontal="right" vertical="top"/>
    </xf>
    <xf numFmtId="0" fontId="5" fillId="6" borderId="0" xfId="0" applyFont="1" applyFill="1" applyAlignment="1">
      <alignment horizontal="left" vertical="top"/>
    </xf>
    <xf numFmtId="0" fontId="17" fillId="6" borderId="0" xfId="0" applyFont="1" applyFill="1" applyAlignment="1">
      <alignment horizontal="center" vertical="top"/>
    </xf>
    <xf numFmtId="10" fontId="17" fillId="6" borderId="0" xfId="2" applyNumberFormat="1" applyFont="1" applyFill="1" applyAlignment="1">
      <alignment horizontal="center" vertical="top"/>
    </xf>
    <xf numFmtId="0" fontId="15" fillId="6" borderId="0" xfId="0" applyFont="1" applyFill="1" applyAlignment="1">
      <alignment horizontal="left" vertical="top"/>
    </xf>
    <xf numFmtId="44" fontId="16" fillId="6" borderId="0" xfId="1" applyFont="1" applyFill="1" applyAlignment="1">
      <alignment horizontal="left" vertical="top"/>
    </xf>
    <xf numFmtId="44" fontId="16" fillId="6" borderId="0" xfId="0" applyNumberFormat="1" applyFont="1" applyFill="1" applyAlignment="1">
      <alignment horizontal="left" vertical="top"/>
    </xf>
    <xf numFmtId="10" fontId="16" fillId="6" borderId="0" xfId="2" applyNumberFormat="1" applyFont="1" applyFill="1" applyAlignment="1">
      <alignment horizontal="left" vertical="top"/>
    </xf>
    <xf numFmtId="44" fontId="6" fillId="6" borderId="0" xfId="0" applyNumberFormat="1" applyFont="1" applyFill="1" applyAlignment="1">
      <alignment horizontal="left" vertical="top"/>
    </xf>
    <xf numFmtId="0" fontId="6" fillId="6" borderId="0" xfId="0" applyFont="1" applyFill="1" applyAlignment="1">
      <alignment horizontal="left" vertical="top" indent="1"/>
    </xf>
    <xf numFmtId="0" fontId="6" fillId="6" borderId="0" xfId="0" applyFont="1" applyFill="1" applyAlignment="1">
      <alignment horizontal="left" vertical="top" indent="2"/>
    </xf>
    <xf numFmtId="0" fontId="6" fillId="6" borderId="0" xfId="0" applyFont="1" applyFill="1" applyAlignment="1">
      <alignment horizontal="left" vertical="top" indent="3"/>
    </xf>
  </cellXfs>
  <cellStyles count="7">
    <cellStyle name="Currency" xfId="1" builtinId="4"/>
    <cellStyle name="Currency 2" xfId="4" xr:uid="{313F1E90-BDA6-4277-AB32-A7827906E8E0}"/>
    <cellStyle name="Normal" xfId="0" builtinId="0"/>
    <cellStyle name="Normal 2" xfId="3" xr:uid="{F486577B-CFFC-4C8A-99D8-00763CC8C129}"/>
    <cellStyle name="Normal 3" xfId="5" xr:uid="{4FA8C1DE-BFA4-4BB2-9CF5-F9089A6CCFB7}"/>
    <cellStyle name="Percent" xfId="2" builtinId="5"/>
    <cellStyle name="Percent 2" xfId="6" xr:uid="{DBAAEDD0-5882-406B-9FF3-234E6FB5AA4E}"/>
  </cellStyles>
  <dxfs count="1">
    <dxf>
      <font>
        <b val="0"/>
        <i val="0"/>
        <strike val="0"/>
        <condense val="0"/>
        <extend val="0"/>
        <outline val="0"/>
        <shadow val="0"/>
        <u val="none"/>
        <vertAlign val="baseline"/>
        <sz val="10"/>
        <color rgb="FF000000"/>
        <name val="Times New Roman"/>
        <family val="1"/>
        <scheme val="none"/>
      </font>
      <alignment horizontal="left" vertical="top" textRotation="0" wrapText="0" indent="0" justifyLastLine="0" shrinkToFit="0" readingOrder="0"/>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3C1176D7-E67A-4706-BFF8-89B338AA9F4E}" name="CategoryTable" displayName="CategoryTable" ref="B1:B21" totalsRowShown="0" headerRowDxfId="0">
  <autoFilter ref="B1:B21" xr:uid="{3C1176D7-E67A-4706-BFF8-89B338AA9F4E}"/>
  <tableColumns count="1">
    <tableColumn id="1" xr3:uid="{41E4E437-8147-41E3-ABBA-1173984CFC74}" name="Categories"/>
  </tableColumns>
  <tableStyleInfo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7.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R69"/>
  <sheetViews>
    <sheetView topLeftCell="AB1" workbookViewId="0">
      <selection activeCell="AR13" sqref="AR13"/>
    </sheetView>
  </sheetViews>
  <sheetFormatPr defaultRowHeight="12.75" x14ac:dyDescent="0.2"/>
  <cols>
    <col min="1" max="1" width="12.83203125" style="3" bestFit="1" customWidth="1"/>
    <col min="2" max="2" width="35.83203125" style="3" customWidth="1"/>
    <col min="3" max="3" width="21.1640625" style="3" customWidth="1"/>
    <col min="4" max="5" width="13.5" style="3" customWidth="1"/>
    <col min="6" max="6" width="28.83203125" style="3" customWidth="1"/>
    <col min="7" max="7" width="5.83203125" style="3" customWidth="1"/>
    <col min="8" max="8" width="9.33203125" style="3"/>
    <col min="9" max="9" width="35.83203125" style="3" customWidth="1"/>
    <col min="10" max="10" width="16.33203125" style="2" customWidth="1"/>
    <col min="11" max="11" width="17.83203125" style="3" customWidth="1"/>
    <col min="12" max="12" width="12" style="14" customWidth="1"/>
    <col min="13" max="13" width="29.1640625" style="3" customWidth="1"/>
    <col min="14" max="14" width="6" style="2" customWidth="1"/>
    <col min="15" max="15" width="9.33203125" style="3"/>
    <col min="16" max="16" width="35.83203125" style="3" customWidth="1"/>
    <col min="17" max="17" width="16.33203125" style="2" bestFit="1" customWidth="1"/>
    <col min="18" max="18" width="21.83203125" style="3" customWidth="1"/>
    <col min="19" max="19" width="9.33203125" style="3" customWidth="1"/>
    <col min="20" max="20" width="29" style="3" customWidth="1"/>
    <col min="21" max="22" width="9.33203125" style="3" customWidth="1"/>
    <col min="23" max="23" width="35.83203125" style="3" customWidth="1"/>
    <col min="24" max="24" width="18.1640625" style="2" customWidth="1"/>
    <col min="25" max="25" width="17.83203125" style="3" customWidth="1"/>
    <col min="26" max="26" width="12" style="14" customWidth="1"/>
    <col min="27" max="27" width="29.1640625" style="3" customWidth="1"/>
    <col min="28" max="29" width="9.33203125" style="3"/>
    <col min="30" max="30" width="35.83203125" style="3" customWidth="1"/>
    <col min="31" max="31" width="18.1640625" style="2" customWidth="1"/>
    <col min="32" max="32" width="17.83203125" style="3" customWidth="1"/>
    <col min="33" max="33" width="12" style="14" customWidth="1"/>
    <col min="34" max="34" width="29.1640625" style="3" customWidth="1"/>
    <col min="35" max="36" width="9.33203125" style="3"/>
    <col min="37" max="37" width="35.83203125" style="3" customWidth="1"/>
    <col min="38" max="38" width="18.1640625" style="2" customWidth="1"/>
    <col min="39" max="39" width="17.83203125" style="3" customWidth="1"/>
    <col min="40" max="40" width="12" style="14" customWidth="1"/>
    <col min="41" max="41" width="29.1640625" style="3" customWidth="1"/>
    <col min="42" max="43" width="9.33203125" style="3"/>
    <col min="44" max="44" width="16.33203125" style="3" bestFit="1" customWidth="1"/>
    <col min="45" max="16384" width="9.33203125" style="3"/>
  </cols>
  <sheetData>
    <row r="1" spans="1:44" ht="15.75" x14ac:dyDescent="0.2">
      <c r="A1" s="31"/>
      <c r="B1" s="86" t="s">
        <v>10</v>
      </c>
      <c r="C1" s="86"/>
      <c r="D1" s="32"/>
      <c r="E1" s="32"/>
      <c r="F1" s="32"/>
      <c r="H1" s="47"/>
      <c r="I1" s="89" t="s">
        <v>10</v>
      </c>
      <c r="J1" s="89"/>
      <c r="K1" s="47"/>
      <c r="L1" s="48"/>
      <c r="M1" s="47"/>
      <c r="O1" s="62"/>
      <c r="P1" s="92" t="s">
        <v>10</v>
      </c>
      <c r="Q1" s="92"/>
      <c r="R1" s="62"/>
      <c r="S1" s="62"/>
      <c r="T1" s="62"/>
      <c r="V1" s="47"/>
      <c r="W1" s="89" t="s">
        <v>10</v>
      </c>
      <c r="X1" s="89"/>
      <c r="Y1" s="47"/>
      <c r="Z1" s="48"/>
      <c r="AA1" s="47"/>
      <c r="AC1" s="67"/>
      <c r="AD1" s="83" t="s">
        <v>10</v>
      </c>
      <c r="AE1" s="83"/>
      <c r="AF1" s="67"/>
      <c r="AG1" s="68"/>
      <c r="AH1" s="67"/>
      <c r="AJ1" s="99"/>
      <c r="AK1" s="100" t="s">
        <v>10</v>
      </c>
      <c r="AL1" s="100"/>
      <c r="AM1" s="99"/>
      <c r="AN1" s="101"/>
      <c r="AO1" s="99"/>
    </row>
    <row r="2" spans="1:44" ht="23.25" x14ac:dyDescent="0.2">
      <c r="A2" s="31"/>
      <c r="B2" s="87" t="s">
        <v>13</v>
      </c>
      <c r="C2" s="87"/>
      <c r="D2" s="33"/>
      <c r="E2" s="33"/>
      <c r="F2" s="33"/>
      <c r="H2" s="47"/>
      <c r="I2" s="90" t="s">
        <v>13</v>
      </c>
      <c r="J2" s="90"/>
      <c r="K2" s="47"/>
      <c r="L2" s="48"/>
      <c r="M2" s="47"/>
      <c r="O2" s="62"/>
      <c r="P2" s="93" t="s">
        <v>13</v>
      </c>
      <c r="Q2" s="93"/>
      <c r="R2" s="62"/>
      <c r="S2" s="62"/>
      <c r="T2" s="62"/>
      <c r="V2" s="47"/>
      <c r="W2" s="90" t="s">
        <v>13</v>
      </c>
      <c r="X2" s="90"/>
      <c r="Y2" s="47"/>
      <c r="Z2" s="48"/>
      <c r="AA2" s="47"/>
      <c r="AC2" s="67"/>
      <c r="AD2" s="84" t="s">
        <v>13</v>
      </c>
      <c r="AE2" s="84"/>
      <c r="AF2" s="67"/>
      <c r="AG2" s="68"/>
      <c r="AH2" s="67"/>
      <c r="AJ2" s="99"/>
      <c r="AK2" s="102" t="s">
        <v>13</v>
      </c>
      <c r="AL2" s="102"/>
      <c r="AM2" s="99"/>
      <c r="AN2" s="101"/>
      <c r="AO2" s="99"/>
    </row>
    <row r="3" spans="1:44" x14ac:dyDescent="0.2">
      <c r="A3" s="31"/>
      <c r="B3" s="88" t="s">
        <v>11</v>
      </c>
      <c r="C3" s="88"/>
      <c r="D3" s="34"/>
      <c r="E3" s="34"/>
      <c r="F3" s="34"/>
      <c r="H3" s="47"/>
      <c r="I3" s="91" t="s">
        <v>75</v>
      </c>
      <c r="J3" s="91"/>
      <c r="K3" s="47"/>
      <c r="L3" s="48"/>
      <c r="M3" s="47"/>
      <c r="O3" s="62"/>
      <c r="P3" s="94" t="s">
        <v>183</v>
      </c>
      <c r="Q3" s="94"/>
      <c r="R3" s="62"/>
      <c r="S3" s="62"/>
      <c r="T3" s="62"/>
      <c r="V3" s="47"/>
      <c r="W3" s="91" t="s">
        <v>184</v>
      </c>
      <c r="X3" s="91"/>
      <c r="Y3" s="47"/>
      <c r="Z3" s="48"/>
      <c r="AA3" s="47"/>
      <c r="AC3" s="85" t="s">
        <v>186</v>
      </c>
      <c r="AD3" s="85"/>
      <c r="AE3" s="85"/>
      <c r="AF3" s="85"/>
      <c r="AG3" s="68"/>
      <c r="AH3" s="67"/>
      <c r="AJ3" s="103" t="s">
        <v>188</v>
      </c>
      <c r="AK3" s="103"/>
      <c r="AL3" s="103"/>
      <c r="AM3" s="103"/>
      <c r="AN3" s="101"/>
      <c r="AO3" s="99"/>
    </row>
    <row r="4" spans="1:44" x14ac:dyDescent="0.2">
      <c r="A4" s="31"/>
      <c r="B4" s="34"/>
      <c r="C4" s="34"/>
      <c r="D4" s="34"/>
      <c r="E4" s="34"/>
      <c r="F4" s="34"/>
      <c r="H4" s="47"/>
      <c r="I4" s="47"/>
      <c r="J4" s="49"/>
      <c r="K4" s="47"/>
      <c r="L4" s="48"/>
      <c r="M4" s="47"/>
      <c r="O4" s="62"/>
      <c r="P4" s="62"/>
      <c r="Q4" s="63"/>
      <c r="R4" s="62"/>
      <c r="S4" s="62"/>
      <c r="T4" s="62"/>
      <c r="V4" s="47"/>
      <c r="W4" s="47"/>
      <c r="X4" s="49"/>
      <c r="Y4" s="47"/>
      <c r="Z4" s="48"/>
      <c r="AA4" s="47"/>
      <c r="AC4" s="67"/>
      <c r="AD4" s="67"/>
      <c r="AE4" s="69"/>
      <c r="AF4" s="67"/>
      <c r="AG4" s="68"/>
      <c r="AH4" s="67"/>
      <c r="AJ4" s="99"/>
      <c r="AK4" s="99"/>
      <c r="AL4" s="104"/>
      <c r="AM4" s="99"/>
      <c r="AN4" s="101"/>
      <c r="AO4" s="99"/>
    </row>
    <row r="5" spans="1:44" x14ac:dyDescent="0.2">
      <c r="A5" s="31"/>
      <c r="B5" s="35"/>
      <c r="C5" s="36" t="s">
        <v>12</v>
      </c>
      <c r="D5" s="36"/>
      <c r="E5" s="36"/>
      <c r="F5" s="36"/>
      <c r="H5" s="47"/>
      <c r="I5" s="47" t="s">
        <v>35</v>
      </c>
      <c r="J5" s="50" t="s">
        <v>44</v>
      </c>
      <c r="K5" s="47"/>
      <c r="L5" s="48"/>
      <c r="M5" s="47"/>
      <c r="O5" s="62"/>
      <c r="P5" s="62" t="s">
        <v>35</v>
      </c>
      <c r="Q5" s="63"/>
      <c r="R5" s="62"/>
      <c r="S5" s="62"/>
      <c r="T5" s="62"/>
      <c r="V5" s="47"/>
      <c r="W5" s="47" t="s">
        <v>35</v>
      </c>
      <c r="X5" s="50" t="s">
        <v>44</v>
      </c>
      <c r="Y5" s="47"/>
      <c r="Z5" s="48"/>
      <c r="AA5" s="47"/>
      <c r="AC5" s="67"/>
      <c r="AD5" s="67" t="s">
        <v>35</v>
      </c>
      <c r="AE5" s="70" t="s">
        <v>44</v>
      </c>
      <c r="AF5" s="67"/>
      <c r="AG5" s="68"/>
      <c r="AH5" s="67"/>
      <c r="AJ5" s="99"/>
      <c r="AK5" s="99" t="s">
        <v>35</v>
      </c>
      <c r="AL5" s="105" t="s">
        <v>44</v>
      </c>
      <c r="AM5" s="99"/>
      <c r="AN5" s="101"/>
      <c r="AO5" s="99"/>
    </row>
    <row r="6" spans="1:44" ht="15" x14ac:dyDescent="0.2">
      <c r="A6" s="37"/>
      <c r="B6" s="37"/>
      <c r="C6" s="37"/>
      <c r="D6" s="34"/>
      <c r="E6" s="34"/>
      <c r="F6" s="37"/>
      <c r="H6" s="47"/>
      <c r="I6" s="51" t="s">
        <v>36</v>
      </c>
      <c r="J6" s="49"/>
      <c r="K6" s="52" t="s">
        <v>76</v>
      </c>
      <c r="L6" s="53"/>
      <c r="M6" s="54"/>
      <c r="O6" s="62"/>
      <c r="P6" s="62" t="s">
        <v>36</v>
      </c>
      <c r="Q6" s="64" t="s">
        <v>155</v>
      </c>
      <c r="R6" s="62" t="s">
        <v>76</v>
      </c>
      <c r="S6" s="62" t="s">
        <v>180</v>
      </c>
      <c r="T6" s="62" t="s">
        <v>181</v>
      </c>
      <c r="V6" s="47"/>
      <c r="W6" s="51" t="s">
        <v>36</v>
      </c>
      <c r="X6" s="49"/>
      <c r="Y6" s="52" t="s">
        <v>76</v>
      </c>
      <c r="Z6" s="53"/>
      <c r="AA6" s="54"/>
      <c r="AC6" s="67"/>
      <c r="AD6" s="71" t="s">
        <v>36</v>
      </c>
      <c r="AE6" s="69"/>
      <c r="AF6" s="72" t="s">
        <v>76</v>
      </c>
      <c r="AG6" s="73"/>
      <c r="AH6" s="74"/>
      <c r="AJ6" s="99"/>
      <c r="AK6" s="106" t="s">
        <v>36</v>
      </c>
      <c r="AL6" s="104"/>
      <c r="AM6" s="107" t="s">
        <v>76</v>
      </c>
      <c r="AN6" s="108"/>
      <c r="AO6" s="109"/>
    </row>
    <row r="7" spans="1:44" ht="21.75" customHeight="1" x14ac:dyDescent="0.2">
      <c r="A7" s="38"/>
      <c r="B7" s="31" t="s">
        <v>0</v>
      </c>
      <c r="C7" s="39"/>
      <c r="D7" s="37" t="s">
        <v>76</v>
      </c>
      <c r="E7" s="37" t="s">
        <v>180</v>
      </c>
      <c r="F7" s="39" t="s">
        <v>181</v>
      </c>
      <c r="H7" s="50">
        <v>42600</v>
      </c>
      <c r="I7" s="47" t="s">
        <v>17</v>
      </c>
      <c r="J7" s="55">
        <v>1622119.27</v>
      </c>
      <c r="K7" s="56">
        <f>J7/12</f>
        <v>135176.60583333333</v>
      </c>
      <c r="L7" s="57"/>
      <c r="M7" s="47"/>
      <c r="O7" s="62">
        <v>42600</v>
      </c>
      <c r="P7" s="62" t="s">
        <v>17</v>
      </c>
      <c r="Q7" s="65">
        <v>1083536.03</v>
      </c>
      <c r="R7" s="66">
        <f>IF(Q7="","",Q7/6)</f>
        <v>180589.33833333335</v>
      </c>
      <c r="S7" s="62"/>
      <c r="T7" s="62"/>
      <c r="V7" s="50">
        <v>42600</v>
      </c>
      <c r="W7" s="47" t="s">
        <v>17</v>
      </c>
      <c r="X7" s="55">
        <v>1879015.1</v>
      </c>
      <c r="Y7" s="56">
        <f>X7/12</f>
        <v>156584.59166666667</v>
      </c>
      <c r="Z7" s="57"/>
      <c r="AA7" s="47"/>
      <c r="AC7" s="70">
        <v>42600</v>
      </c>
      <c r="AD7" s="67" t="s">
        <v>17</v>
      </c>
      <c r="AE7" s="75">
        <v>1879015.1</v>
      </c>
      <c r="AF7" s="76">
        <f>AE7/12</f>
        <v>156584.59166666667</v>
      </c>
      <c r="AG7" s="77"/>
      <c r="AH7" s="67"/>
      <c r="AJ7" s="105">
        <v>42600</v>
      </c>
      <c r="AK7" s="99" t="s">
        <v>17</v>
      </c>
      <c r="AL7" s="110">
        <v>1916026.21</v>
      </c>
      <c r="AM7" s="111">
        <f>AL7/12</f>
        <v>159668.85083333333</v>
      </c>
      <c r="AN7" s="112"/>
      <c r="AO7" s="99"/>
    </row>
    <row r="8" spans="1:44" x14ac:dyDescent="0.2">
      <c r="A8" s="40">
        <v>42600</v>
      </c>
      <c r="B8" s="31" t="s">
        <v>17</v>
      </c>
      <c r="C8" s="39">
        <v>37304.69</v>
      </c>
      <c r="D8" s="39"/>
      <c r="E8" s="39"/>
      <c r="F8" s="42"/>
      <c r="H8" s="50"/>
      <c r="I8" s="47" t="s">
        <v>1</v>
      </c>
      <c r="J8" s="49">
        <v>1622119.27</v>
      </c>
      <c r="K8" s="58">
        <f t="shared" ref="K8:K50" si="0">J8/12</f>
        <v>135176.60583333333</v>
      </c>
      <c r="L8" s="48"/>
      <c r="M8" s="47"/>
      <c r="O8" s="62"/>
      <c r="P8" s="62" t="s">
        <v>1</v>
      </c>
      <c r="Q8" s="65">
        <f>Q7</f>
        <v>1083536.03</v>
      </c>
      <c r="R8" s="66">
        <f t="shared" ref="R8:R49" si="1">IF(Q8="","",Q8/6)</f>
        <v>180589.33833333335</v>
      </c>
      <c r="S8" s="62"/>
      <c r="T8" s="62"/>
      <c r="V8" s="50"/>
      <c r="W8" s="47" t="s">
        <v>1</v>
      </c>
      <c r="X8" s="49">
        <f>X7</f>
        <v>1879015.1</v>
      </c>
      <c r="Y8" s="58">
        <f>X8/12</f>
        <v>156584.59166666667</v>
      </c>
      <c r="Z8" s="48"/>
      <c r="AA8" s="47"/>
      <c r="AC8" s="70"/>
      <c r="AD8" s="67" t="s">
        <v>1</v>
      </c>
      <c r="AE8" s="69">
        <f>AE7</f>
        <v>1879015.1</v>
      </c>
      <c r="AF8" s="78">
        <f>AE8/12</f>
        <v>156584.59166666667</v>
      </c>
      <c r="AG8" s="68"/>
      <c r="AH8" s="67"/>
      <c r="AJ8" s="105"/>
      <c r="AK8" s="99" t="s">
        <v>1</v>
      </c>
      <c r="AL8" s="104">
        <f>AL7</f>
        <v>1916026.21</v>
      </c>
      <c r="AM8" s="113">
        <f>AL8/12</f>
        <v>159668.85083333333</v>
      </c>
      <c r="AN8" s="101"/>
      <c r="AO8" s="99"/>
    </row>
    <row r="9" spans="1:44" x14ac:dyDescent="0.2">
      <c r="A9" s="40"/>
      <c r="B9" s="31" t="s">
        <v>1</v>
      </c>
      <c r="C9" s="39">
        <v>37304.69</v>
      </c>
      <c r="D9" s="39"/>
      <c r="E9" s="39"/>
      <c r="F9" s="42"/>
      <c r="H9" s="50"/>
      <c r="I9" s="51" t="s">
        <v>2</v>
      </c>
      <c r="J9" s="49"/>
      <c r="K9" s="58"/>
      <c r="L9" s="48"/>
      <c r="M9" s="47"/>
      <c r="O9" s="62"/>
      <c r="P9" s="62" t="s">
        <v>2</v>
      </c>
      <c r="Q9" s="63"/>
      <c r="R9" s="66" t="str">
        <f t="shared" si="1"/>
        <v/>
      </c>
      <c r="S9" s="62"/>
      <c r="T9" s="62"/>
      <c r="V9" s="50"/>
      <c r="W9" s="51" t="s">
        <v>2</v>
      </c>
      <c r="X9" s="49"/>
      <c r="Y9" s="58"/>
      <c r="Z9" s="48"/>
      <c r="AA9" s="47"/>
      <c r="AC9" s="70"/>
      <c r="AD9" s="71" t="s">
        <v>2</v>
      </c>
      <c r="AE9" s="69"/>
      <c r="AF9" s="78"/>
      <c r="AG9" s="68"/>
      <c r="AH9" s="67"/>
      <c r="AJ9" s="105"/>
      <c r="AK9" s="106" t="s">
        <v>2</v>
      </c>
      <c r="AL9" s="104"/>
      <c r="AM9" s="113"/>
      <c r="AN9" s="101"/>
      <c r="AO9" s="99"/>
    </row>
    <row r="10" spans="1:44" x14ac:dyDescent="0.2">
      <c r="A10" s="40"/>
      <c r="B10" s="31"/>
      <c r="C10" s="39"/>
      <c r="D10" s="39"/>
      <c r="E10" s="39"/>
      <c r="F10" s="42"/>
      <c r="H10" s="50">
        <v>50200</v>
      </c>
      <c r="I10" s="47" t="s">
        <v>18</v>
      </c>
      <c r="J10" s="49">
        <v>930.31</v>
      </c>
      <c r="K10" s="58">
        <f t="shared" si="0"/>
        <v>77.525833333333324</v>
      </c>
      <c r="L10" s="48">
        <f t="shared" ref="L10:L15" si="2">K10/$K$8</f>
        <v>5.7351516451684831E-4</v>
      </c>
      <c r="M10" s="47" t="s">
        <v>66</v>
      </c>
      <c r="O10" s="62">
        <v>50200</v>
      </c>
      <c r="P10" s="62" t="s">
        <v>18</v>
      </c>
      <c r="Q10" s="63">
        <v>430</v>
      </c>
      <c r="R10" s="66">
        <f t="shared" si="1"/>
        <v>71.666666666666671</v>
      </c>
      <c r="S10" s="62">
        <f>R10/$R$8</f>
        <v>3.9684882467636999E-4</v>
      </c>
      <c r="T10" s="62" t="s">
        <v>66</v>
      </c>
      <c r="V10" s="50">
        <v>50200</v>
      </c>
      <c r="W10" s="47" t="s">
        <v>18</v>
      </c>
      <c r="X10" s="49">
        <v>930.31</v>
      </c>
      <c r="Y10" s="58">
        <f t="shared" ref="Y10:Y16" si="3">X10/12</f>
        <v>77.525833333333324</v>
      </c>
      <c r="Z10" s="48">
        <f t="shared" ref="Z10:Z15" si="4">Y10/$K$8</f>
        <v>5.7351516451684831E-4</v>
      </c>
      <c r="AA10" s="47" t="s">
        <v>66</v>
      </c>
      <c r="AC10" s="70">
        <v>50200</v>
      </c>
      <c r="AD10" s="67" t="s">
        <v>18</v>
      </c>
      <c r="AE10" s="69">
        <v>930.31</v>
      </c>
      <c r="AF10" s="78">
        <f t="shared" ref="AF10:AF16" si="5">AE10/12</f>
        <v>77.525833333333324</v>
      </c>
      <c r="AG10" s="68">
        <f t="shared" ref="AG10:AG15" si="6">AF10/$K$8</f>
        <v>5.7351516451684831E-4</v>
      </c>
      <c r="AH10" s="67" t="s">
        <v>66</v>
      </c>
      <c r="AJ10" s="105">
        <v>50200</v>
      </c>
      <c r="AK10" s="99" t="s">
        <v>18</v>
      </c>
      <c r="AL10" s="104">
        <v>930.31</v>
      </c>
      <c r="AM10" s="113">
        <f t="shared" ref="AM10:AM16" si="7">AL10/12</f>
        <v>77.525833333333324</v>
      </c>
      <c r="AN10" s="101">
        <f t="shared" ref="AN10:AN15" si="8">AM10/$K$8</f>
        <v>5.7351516451684831E-4</v>
      </c>
      <c r="AO10" s="99" t="s">
        <v>66</v>
      </c>
    </row>
    <row r="11" spans="1:44" x14ac:dyDescent="0.2">
      <c r="A11" s="41"/>
      <c r="B11" s="31" t="s">
        <v>2</v>
      </c>
      <c r="C11" s="39"/>
      <c r="D11" s="39"/>
      <c r="E11" s="39"/>
      <c r="F11" s="42"/>
      <c r="H11" s="50">
        <v>50400</v>
      </c>
      <c r="I11" s="47" t="s">
        <v>45</v>
      </c>
      <c r="J11" s="49">
        <v>621407.53</v>
      </c>
      <c r="K11" s="58">
        <f t="shared" si="0"/>
        <v>51783.960833333338</v>
      </c>
      <c r="L11" s="48">
        <f t="shared" si="2"/>
        <v>0.38308374821291657</v>
      </c>
      <c r="M11" s="47" t="s">
        <v>58</v>
      </c>
      <c r="O11" s="62">
        <v>50400</v>
      </c>
      <c r="P11" s="62" t="s">
        <v>45</v>
      </c>
      <c r="Q11" s="63">
        <v>-762.04</v>
      </c>
      <c r="R11" s="66">
        <f t="shared" si="1"/>
        <v>-127.00666666666666</v>
      </c>
      <c r="S11" s="62">
        <f t="shared" ref="S11:S16" si="9">R11/$R$8</f>
        <v>-7.0328994966600226E-4</v>
      </c>
      <c r="T11" s="62" t="s">
        <v>58</v>
      </c>
      <c r="V11" s="50">
        <v>50400</v>
      </c>
      <c r="W11" s="47" t="s">
        <v>45</v>
      </c>
      <c r="X11" s="49">
        <v>-961.14</v>
      </c>
      <c r="Y11" s="58">
        <f t="shared" si="3"/>
        <v>-80.094999999999999</v>
      </c>
      <c r="Z11" s="48">
        <f t="shared" si="4"/>
        <v>-5.9252116522849759E-4</v>
      </c>
      <c r="AA11" s="47" t="s">
        <v>58</v>
      </c>
      <c r="AC11" s="70">
        <v>50400</v>
      </c>
      <c r="AD11" s="67" t="s">
        <v>45</v>
      </c>
      <c r="AE11" s="69">
        <v>962837</v>
      </c>
      <c r="AF11" s="78">
        <f t="shared" si="5"/>
        <v>80236.416666666672</v>
      </c>
      <c r="AG11" s="68">
        <f t="shared" si="6"/>
        <v>0.59356732751223651</v>
      </c>
      <c r="AH11" s="67" t="s">
        <v>58</v>
      </c>
      <c r="AJ11" s="105">
        <v>50400</v>
      </c>
      <c r="AK11" s="99" t="s">
        <v>45</v>
      </c>
      <c r="AL11" s="104">
        <v>36049.97</v>
      </c>
      <c r="AM11" s="113">
        <f t="shared" si="7"/>
        <v>3004.1641666666669</v>
      </c>
      <c r="AN11" s="101">
        <f t="shared" si="8"/>
        <v>2.2223994663475025E-2</v>
      </c>
      <c r="AO11" s="99" t="s">
        <v>58</v>
      </c>
    </row>
    <row r="12" spans="1:44" x14ac:dyDescent="0.2">
      <c r="A12" s="40">
        <v>50200</v>
      </c>
      <c r="B12" s="31" t="s">
        <v>18</v>
      </c>
      <c r="C12" s="42">
        <v>317.5</v>
      </c>
      <c r="D12" s="42"/>
      <c r="E12" s="42"/>
      <c r="F12" s="42"/>
      <c r="H12" s="50">
        <v>53600</v>
      </c>
      <c r="I12" s="47" t="s">
        <v>20</v>
      </c>
      <c r="J12" s="49">
        <v>689872.77999999991</v>
      </c>
      <c r="K12" s="58">
        <f t="shared" si="0"/>
        <v>57489.398333333324</v>
      </c>
      <c r="L12" s="48">
        <f t="shared" si="2"/>
        <v>0.42529103300770227</v>
      </c>
      <c r="M12" s="47" t="s">
        <v>60</v>
      </c>
      <c r="O12" s="62">
        <v>53600</v>
      </c>
      <c r="P12" s="62" t="s">
        <v>20</v>
      </c>
      <c r="Q12" s="63">
        <v>983758.35</v>
      </c>
      <c r="R12" s="66">
        <f t="shared" si="1"/>
        <v>163959.72500000001</v>
      </c>
      <c r="S12" s="62">
        <f t="shared" si="9"/>
        <v>0.90791475572805824</v>
      </c>
      <c r="T12" s="62" t="s">
        <v>60</v>
      </c>
      <c r="V12" s="50">
        <v>53600</v>
      </c>
      <c r="W12" s="47" t="s">
        <v>20</v>
      </c>
      <c r="X12" s="49">
        <v>1571837.28</v>
      </c>
      <c r="Y12" s="58">
        <f t="shared" si="3"/>
        <v>130986.44</v>
      </c>
      <c r="Z12" s="48">
        <f t="shared" si="4"/>
        <v>0.96900228551011547</v>
      </c>
      <c r="AA12" s="47" t="s">
        <v>60</v>
      </c>
      <c r="AC12" s="70">
        <v>53600</v>
      </c>
      <c r="AD12" s="67" t="s">
        <v>20</v>
      </c>
      <c r="AE12" s="69">
        <v>609000</v>
      </c>
      <c r="AF12" s="78">
        <f t="shared" si="5"/>
        <v>50750</v>
      </c>
      <c r="AG12" s="68">
        <f t="shared" si="6"/>
        <v>0.37543478538418446</v>
      </c>
      <c r="AH12" s="67" t="s">
        <v>60</v>
      </c>
      <c r="AJ12" s="105">
        <v>53600</v>
      </c>
      <c r="AK12" s="99" t="s">
        <v>20</v>
      </c>
      <c r="AL12" s="104">
        <v>1570257.28</v>
      </c>
      <c r="AM12" s="113">
        <f t="shared" si="7"/>
        <v>130854.77333333333</v>
      </c>
      <c r="AN12" s="101">
        <f t="shared" si="8"/>
        <v>0.96802825109154889</v>
      </c>
      <c r="AO12" s="99" t="s">
        <v>60</v>
      </c>
    </row>
    <row r="13" spans="1:44" x14ac:dyDescent="0.2">
      <c r="A13" s="40">
        <v>50400</v>
      </c>
      <c r="B13" s="31" t="s">
        <v>19</v>
      </c>
      <c r="C13" s="43">
        <v>0.75</v>
      </c>
      <c r="D13" s="43"/>
      <c r="E13" s="43"/>
      <c r="F13" s="43"/>
      <c r="H13" s="50">
        <v>53800</v>
      </c>
      <c r="I13" s="47" t="s">
        <v>46</v>
      </c>
      <c r="J13" s="49">
        <v>1663.01</v>
      </c>
      <c r="K13" s="58">
        <f t="shared" si="0"/>
        <v>138.58416666666668</v>
      </c>
      <c r="L13" s="48">
        <f t="shared" si="2"/>
        <v>1.0252082141900701E-3</v>
      </c>
      <c r="M13" s="47" t="s">
        <v>69</v>
      </c>
      <c r="O13" s="62">
        <v>53800</v>
      </c>
      <c r="P13" s="62" t="s">
        <v>46</v>
      </c>
      <c r="Q13" s="63">
        <v>827.5</v>
      </c>
      <c r="R13" s="66">
        <f t="shared" si="1"/>
        <v>137.91666666666666</v>
      </c>
      <c r="S13" s="62">
        <f t="shared" si="9"/>
        <v>7.6370326144115379E-4</v>
      </c>
      <c r="T13" s="62" t="s">
        <v>69</v>
      </c>
      <c r="V13" s="50">
        <v>53800</v>
      </c>
      <c r="W13" s="47" t="s">
        <v>46</v>
      </c>
      <c r="X13" s="49">
        <v>1663.01</v>
      </c>
      <c r="Y13" s="58">
        <f t="shared" si="3"/>
        <v>138.58416666666668</v>
      </c>
      <c r="Z13" s="48">
        <f t="shared" si="4"/>
        <v>1.0252082141900701E-3</v>
      </c>
      <c r="AA13" s="47" t="s">
        <v>69</v>
      </c>
      <c r="AC13" s="70">
        <v>53800</v>
      </c>
      <c r="AD13" s="67" t="s">
        <v>46</v>
      </c>
      <c r="AE13" s="69">
        <v>1663.01</v>
      </c>
      <c r="AF13" s="78">
        <f t="shared" si="5"/>
        <v>138.58416666666668</v>
      </c>
      <c r="AG13" s="68">
        <f t="shared" si="6"/>
        <v>1.0252082141900701E-3</v>
      </c>
      <c r="AH13" s="67" t="s">
        <v>69</v>
      </c>
      <c r="AJ13" s="105">
        <v>53800</v>
      </c>
      <c r="AK13" s="99" t="s">
        <v>46</v>
      </c>
      <c r="AL13" s="104">
        <v>1663.01</v>
      </c>
      <c r="AM13" s="113">
        <f t="shared" si="7"/>
        <v>138.58416666666668</v>
      </c>
      <c r="AN13" s="101">
        <f t="shared" si="8"/>
        <v>1.0252082141900701E-3</v>
      </c>
      <c r="AO13" s="99" t="s">
        <v>69</v>
      </c>
      <c r="AR13" s="4">
        <f>SUM(AL12,AL36,AL47)</f>
        <v>1790200.78</v>
      </c>
    </row>
    <row r="14" spans="1:44" ht="15" x14ac:dyDescent="0.2">
      <c r="A14" s="40">
        <v>53600</v>
      </c>
      <c r="B14" s="31" t="s">
        <v>20</v>
      </c>
      <c r="C14" s="43">
        <v>22572.87</v>
      </c>
      <c r="D14" s="43"/>
      <c r="E14" s="43"/>
      <c r="F14" s="43"/>
      <c r="H14" s="50">
        <v>54100</v>
      </c>
      <c r="I14" s="47" t="s">
        <v>47</v>
      </c>
      <c r="J14" s="55">
        <v>280.02</v>
      </c>
      <c r="K14" s="56">
        <f t="shared" si="0"/>
        <v>23.334999999999997</v>
      </c>
      <c r="L14" s="48">
        <f t="shared" si="2"/>
        <v>1.726260239791122E-4</v>
      </c>
      <c r="M14" s="47" t="s">
        <v>66</v>
      </c>
      <c r="O14" s="62">
        <v>54100</v>
      </c>
      <c r="P14" s="62" t="s">
        <v>47</v>
      </c>
      <c r="Q14" s="63">
        <v>280.02</v>
      </c>
      <c r="R14" s="66">
        <f t="shared" si="1"/>
        <v>46.669999999999995</v>
      </c>
      <c r="S14" s="62">
        <f t="shared" si="9"/>
        <v>2.5843164624622585E-4</v>
      </c>
      <c r="T14" s="62" t="s">
        <v>66</v>
      </c>
      <c r="V14" s="50">
        <v>54100</v>
      </c>
      <c r="W14" s="47" t="s">
        <v>47</v>
      </c>
      <c r="X14" s="55">
        <v>280.02</v>
      </c>
      <c r="Y14" s="56">
        <f t="shared" si="3"/>
        <v>23.334999999999997</v>
      </c>
      <c r="Z14" s="48">
        <f t="shared" si="4"/>
        <v>1.726260239791122E-4</v>
      </c>
      <c r="AA14" s="47" t="s">
        <v>66</v>
      </c>
      <c r="AC14" s="70">
        <v>54100</v>
      </c>
      <c r="AD14" s="67" t="s">
        <v>47</v>
      </c>
      <c r="AE14" s="75">
        <v>280.02</v>
      </c>
      <c r="AF14" s="76">
        <f t="shared" si="5"/>
        <v>23.334999999999997</v>
      </c>
      <c r="AG14" s="68">
        <f t="shared" si="6"/>
        <v>1.726260239791122E-4</v>
      </c>
      <c r="AH14" s="67" t="s">
        <v>66</v>
      </c>
      <c r="AJ14" s="105">
        <v>54100</v>
      </c>
      <c r="AK14" s="99" t="s">
        <v>47</v>
      </c>
      <c r="AL14" s="110">
        <v>280.02</v>
      </c>
      <c r="AM14" s="111">
        <f t="shared" si="7"/>
        <v>23.334999999999997</v>
      </c>
      <c r="AN14" s="101">
        <f t="shared" si="8"/>
        <v>1.726260239791122E-4</v>
      </c>
      <c r="AO14" s="99" t="s">
        <v>66</v>
      </c>
      <c r="AR14" s="4">
        <f>AR13/12</f>
        <v>149183.39833333335</v>
      </c>
    </row>
    <row r="15" spans="1:44" x14ac:dyDescent="0.2">
      <c r="A15" s="40"/>
      <c r="B15" s="44" t="s">
        <v>14</v>
      </c>
      <c r="C15" s="43">
        <v>22891.119999999999</v>
      </c>
      <c r="D15" s="43"/>
      <c r="E15" s="43"/>
      <c r="F15" s="43"/>
      <c r="H15" s="50"/>
      <c r="I15" s="47" t="s">
        <v>37</v>
      </c>
      <c r="J15" s="49">
        <f>SUM(J10:J14)</f>
        <v>1314153.6500000001</v>
      </c>
      <c r="K15" s="58">
        <f t="shared" si="0"/>
        <v>109512.80416666668</v>
      </c>
      <c r="L15" s="48">
        <f t="shared" si="2"/>
        <v>0.81014613062330498</v>
      </c>
      <c r="M15" s="47"/>
      <c r="O15" s="62"/>
      <c r="P15" s="62" t="s">
        <v>37</v>
      </c>
      <c r="Q15" s="65">
        <f>SUM(Q10:Q14)</f>
        <v>984533.83</v>
      </c>
      <c r="R15" s="66">
        <f t="shared" si="1"/>
        <v>164088.97166666665</v>
      </c>
      <c r="S15" s="62">
        <f t="shared" si="9"/>
        <v>0.90863044951075589</v>
      </c>
      <c r="T15" s="62"/>
      <c r="V15" s="50"/>
      <c r="W15" s="47" t="s">
        <v>37</v>
      </c>
      <c r="X15" s="49">
        <f>SUM(X10:X14)</f>
        <v>1573749.48</v>
      </c>
      <c r="Y15" s="58">
        <f t="shared" si="3"/>
        <v>131145.79</v>
      </c>
      <c r="Z15" s="48">
        <f t="shared" si="4"/>
        <v>0.97018111374757299</v>
      </c>
      <c r="AA15" s="47"/>
      <c r="AC15" s="70"/>
      <c r="AD15" s="67" t="s">
        <v>37</v>
      </c>
      <c r="AE15" s="69">
        <f>SUM(AE10:AE14)</f>
        <v>1574710.34</v>
      </c>
      <c r="AF15" s="78">
        <f t="shared" si="5"/>
        <v>131225.86166666666</v>
      </c>
      <c r="AG15" s="68">
        <f t="shared" si="6"/>
        <v>0.97077346229910699</v>
      </c>
      <c r="AH15" s="67"/>
      <c r="AJ15" s="105"/>
      <c r="AK15" s="99" t="s">
        <v>37</v>
      </c>
      <c r="AL15" s="104">
        <f>SUM(AL10:AL14)</f>
        <v>1609180.59</v>
      </c>
      <c r="AM15" s="113">
        <f t="shared" si="7"/>
        <v>134098.38250000001</v>
      </c>
      <c r="AN15" s="101">
        <f t="shared" si="8"/>
        <v>0.99202359515770999</v>
      </c>
      <c r="AO15" s="99"/>
    </row>
    <row r="16" spans="1:44" x14ac:dyDescent="0.2">
      <c r="A16" s="41"/>
      <c r="B16" s="44" t="s">
        <v>15</v>
      </c>
      <c r="C16" s="45">
        <v>14413.57</v>
      </c>
      <c r="D16" s="45"/>
      <c r="E16" s="45"/>
      <c r="F16" s="45"/>
      <c r="H16" s="50"/>
      <c r="I16" s="51" t="s">
        <v>38</v>
      </c>
      <c r="J16" s="49">
        <f>J8-J15</f>
        <v>307965.61999999988</v>
      </c>
      <c r="K16" s="58">
        <f t="shared" si="0"/>
        <v>25663.801666666655</v>
      </c>
      <c r="L16" s="48"/>
      <c r="M16" s="47"/>
      <c r="O16" s="62"/>
      <c r="P16" s="62" t="s">
        <v>38</v>
      </c>
      <c r="Q16" s="63">
        <f>Q8-Q15</f>
        <v>99002.20000000007</v>
      </c>
      <c r="R16" s="66">
        <f t="shared" si="1"/>
        <v>16500.36666666668</v>
      </c>
      <c r="S16" s="62">
        <f t="shared" si="9"/>
        <v>9.1369550489244056E-2</v>
      </c>
      <c r="T16" s="62"/>
      <c r="V16" s="50"/>
      <c r="W16" s="51" t="s">
        <v>38</v>
      </c>
      <c r="X16" s="49">
        <f>X8-X15</f>
        <v>305265.62000000011</v>
      </c>
      <c r="Y16" s="58">
        <f t="shared" si="3"/>
        <v>25438.801666666677</v>
      </c>
      <c r="Z16" s="48"/>
      <c r="AA16" s="47"/>
      <c r="AC16" s="70"/>
      <c r="AD16" s="71" t="s">
        <v>38</v>
      </c>
      <c r="AE16" s="69">
        <f>AE8-AE15</f>
        <v>304304.76</v>
      </c>
      <c r="AF16" s="78">
        <f t="shared" si="5"/>
        <v>25358.73</v>
      </c>
      <c r="AG16" s="68"/>
      <c r="AH16" s="67"/>
      <c r="AJ16" s="105"/>
      <c r="AK16" s="106" t="s">
        <v>38</v>
      </c>
      <c r="AL16" s="104">
        <f>AL8-AL15</f>
        <v>306845.61999999988</v>
      </c>
      <c r="AM16" s="113">
        <f t="shared" si="7"/>
        <v>25570.468333333323</v>
      </c>
      <c r="AN16" s="101"/>
      <c r="AO16" s="99"/>
    </row>
    <row r="17" spans="1:44" x14ac:dyDescent="0.2">
      <c r="A17" s="40">
        <v>60000</v>
      </c>
      <c r="B17" s="31" t="s">
        <v>21</v>
      </c>
      <c r="C17" s="39">
        <v>522.14</v>
      </c>
      <c r="D17" s="39"/>
      <c r="E17" s="39"/>
      <c r="F17" s="39"/>
      <c r="H17" s="50"/>
      <c r="I17" s="51"/>
      <c r="J17" s="49"/>
      <c r="K17" s="58"/>
      <c r="L17" s="48"/>
      <c r="M17" s="47"/>
      <c r="O17" s="62"/>
      <c r="P17" s="62"/>
      <c r="Q17" s="63"/>
      <c r="R17" s="66" t="str">
        <f t="shared" si="1"/>
        <v/>
      </c>
      <c r="S17" s="62"/>
      <c r="T17" s="62"/>
      <c r="V17" s="50"/>
      <c r="W17" s="51"/>
      <c r="X17" s="49"/>
      <c r="Y17" s="58"/>
      <c r="Z17" s="48"/>
      <c r="AA17" s="47"/>
      <c r="AC17" s="70"/>
      <c r="AD17" s="71"/>
      <c r="AE17" s="69"/>
      <c r="AF17" s="78"/>
      <c r="AG17" s="68"/>
      <c r="AH17" s="67"/>
      <c r="AJ17" s="105"/>
      <c r="AK17" s="106"/>
      <c r="AL17" s="104"/>
      <c r="AM17" s="113"/>
      <c r="AN17" s="101"/>
      <c r="AO17" s="99"/>
    </row>
    <row r="18" spans="1:44" x14ac:dyDescent="0.2">
      <c r="A18" s="40">
        <v>60100</v>
      </c>
      <c r="B18" s="31" t="s">
        <v>22</v>
      </c>
      <c r="C18" s="39">
        <v>1122.95</v>
      </c>
      <c r="D18" s="39"/>
      <c r="E18" s="39"/>
      <c r="F18" s="39"/>
      <c r="H18" s="51" t="s">
        <v>39</v>
      </c>
      <c r="I18" s="47"/>
      <c r="J18" s="49"/>
      <c r="K18" s="58"/>
      <c r="L18" s="48"/>
      <c r="M18" s="47"/>
      <c r="O18" s="62"/>
      <c r="P18" s="62" t="s">
        <v>39</v>
      </c>
      <c r="Q18" s="63"/>
      <c r="R18" s="66" t="str">
        <f t="shared" si="1"/>
        <v/>
      </c>
      <c r="S18" s="62"/>
      <c r="T18" s="62"/>
      <c r="V18" s="51" t="s">
        <v>39</v>
      </c>
      <c r="W18" s="47"/>
      <c r="X18" s="49"/>
      <c r="Y18" s="58"/>
      <c r="Z18" s="48"/>
      <c r="AA18" s="47"/>
      <c r="AC18" s="71" t="s">
        <v>39</v>
      </c>
      <c r="AD18" s="67"/>
      <c r="AE18" s="69"/>
      <c r="AF18" s="78"/>
      <c r="AG18" s="68"/>
      <c r="AH18" s="67"/>
      <c r="AJ18" s="106" t="s">
        <v>39</v>
      </c>
      <c r="AK18" s="99"/>
      <c r="AL18" s="104"/>
      <c r="AM18" s="113"/>
      <c r="AN18" s="101"/>
      <c r="AO18" s="99"/>
    </row>
    <row r="19" spans="1:44" x14ac:dyDescent="0.2">
      <c r="A19" s="40">
        <v>60200</v>
      </c>
      <c r="B19" s="31" t="s">
        <v>23</v>
      </c>
      <c r="C19" s="39">
        <v>580.89</v>
      </c>
      <c r="D19" s="39"/>
      <c r="E19" s="39"/>
      <c r="F19" s="39"/>
      <c r="H19" s="50">
        <v>60000</v>
      </c>
      <c r="I19" s="47" t="s">
        <v>21</v>
      </c>
      <c r="J19" s="49">
        <v>23037.93</v>
      </c>
      <c r="K19" s="58">
        <f t="shared" si="0"/>
        <v>1919.8275000000001</v>
      </c>
      <c r="L19" s="48">
        <f>K19/$K$8</f>
        <v>1.4202365033244443E-2</v>
      </c>
      <c r="M19" s="47" t="s">
        <v>73</v>
      </c>
      <c r="O19" s="62">
        <v>60000</v>
      </c>
      <c r="P19" s="62" t="s">
        <v>21</v>
      </c>
      <c r="Q19" s="63">
        <v>8797.9</v>
      </c>
      <c r="R19" s="66">
        <f t="shared" si="1"/>
        <v>1466.3166666666666</v>
      </c>
      <c r="S19" s="62">
        <f t="shared" ref="S19:S25" si="10">R19/$R$8</f>
        <v>8.1196192433028724E-3</v>
      </c>
      <c r="T19" s="62" t="s">
        <v>73</v>
      </c>
      <c r="V19" s="50">
        <v>60000</v>
      </c>
      <c r="W19" s="47" t="s">
        <v>21</v>
      </c>
      <c r="X19" s="49">
        <v>23037.93</v>
      </c>
      <c r="Y19" s="58">
        <f t="shared" ref="Y19:Y26" si="11">X19/12</f>
        <v>1919.8275000000001</v>
      </c>
      <c r="Z19" s="48">
        <f>Y19/$K$8</f>
        <v>1.4202365033244443E-2</v>
      </c>
      <c r="AA19" s="47" t="s">
        <v>73</v>
      </c>
      <c r="AC19" s="70">
        <v>60000</v>
      </c>
      <c r="AD19" s="67" t="s">
        <v>21</v>
      </c>
      <c r="AE19" s="69">
        <v>23037.93</v>
      </c>
      <c r="AF19" s="78">
        <f t="shared" ref="AF19:AF26" si="12">AE19/12</f>
        <v>1919.8275000000001</v>
      </c>
      <c r="AG19" s="68">
        <f>AF19/$K$8</f>
        <v>1.4202365033244443E-2</v>
      </c>
      <c r="AH19" s="67" t="s">
        <v>73</v>
      </c>
      <c r="AJ19" s="105">
        <v>60000</v>
      </c>
      <c r="AK19" s="99" t="s">
        <v>21</v>
      </c>
      <c r="AL19" s="104">
        <v>24021.73</v>
      </c>
      <c r="AM19" s="113">
        <f t="shared" ref="AM19:AM26" si="13">AL19/12</f>
        <v>2001.8108333333332</v>
      </c>
      <c r="AN19" s="101">
        <f>AM19/$K$8</f>
        <v>1.4808855578172127E-2</v>
      </c>
      <c r="AO19" s="99" t="s">
        <v>73</v>
      </c>
    </row>
    <row r="20" spans="1:44" x14ac:dyDescent="0.2">
      <c r="A20" s="40">
        <v>60400</v>
      </c>
      <c r="B20" s="31" t="s">
        <v>24</v>
      </c>
      <c r="C20" s="39">
        <v>50</v>
      </c>
      <c r="D20" s="39"/>
      <c r="E20" s="39"/>
      <c r="F20" s="39"/>
      <c r="H20" s="50">
        <v>60100</v>
      </c>
      <c r="I20" s="47" t="s">
        <v>22</v>
      </c>
      <c r="J20" s="49">
        <v>22115.22</v>
      </c>
      <c r="K20" s="58">
        <f t="shared" si="0"/>
        <v>1842.9350000000002</v>
      </c>
      <c r="L20" s="48">
        <f t="shared" ref="L20:L26" si="14">K20/$K$8</f>
        <v>1.3633535097576395E-2</v>
      </c>
      <c r="M20" s="47" t="s">
        <v>70</v>
      </c>
      <c r="O20" s="62">
        <v>60100</v>
      </c>
      <c r="P20" s="62" t="s">
        <v>22</v>
      </c>
      <c r="Q20" s="63">
        <v>12677.81</v>
      </c>
      <c r="R20" s="66">
        <f t="shared" si="1"/>
        <v>2112.9683333333332</v>
      </c>
      <c r="S20" s="62">
        <f t="shared" si="10"/>
        <v>1.1700404646442628E-2</v>
      </c>
      <c r="T20" s="62" t="s">
        <v>70</v>
      </c>
      <c r="V20" s="50">
        <v>60100</v>
      </c>
      <c r="W20" s="47" t="s">
        <v>22</v>
      </c>
      <c r="X20" s="49">
        <v>22115.22</v>
      </c>
      <c r="Y20" s="58">
        <f t="shared" si="11"/>
        <v>1842.9350000000002</v>
      </c>
      <c r="Z20" s="48">
        <f t="shared" ref="Z20:Z26" si="15">Y20/$K$8</f>
        <v>1.3633535097576395E-2</v>
      </c>
      <c r="AA20" s="47" t="s">
        <v>70</v>
      </c>
      <c r="AC20" s="70">
        <v>60100</v>
      </c>
      <c r="AD20" s="67" t="s">
        <v>22</v>
      </c>
      <c r="AE20" s="69">
        <v>22115.22</v>
      </c>
      <c r="AF20" s="78">
        <f t="shared" si="12"/>
        <v>1842.9350000000002</v>
      </c>
      <c r="AG20" s="68">
        <f t="shared" ref="AG20:AG26" si="16">AF20/$K$8</f>
        <v>1.3633535097576395E-2</v>
      </c>
      <c r="AH20" s="67" t="s">
        <v>70</v>
      </c>
      <c r="AJ20" s="105">
        <v>60100</v>
      </c>
      <c r="AK20" s="99" t="s">
        <v>22</v>
      </c>
      <c r="AL20" s="104">
        <v>21265.27</v>
      </c>
      <c r="AM20" s="113">
        <f t="shared" si="13"/>
        <v>1772.1058333333333</v>
      </c>
      <c r="AN20" s="101">
        <f t="shared" ref="AN20:AN26" si="17">AM20/$K$8</f>
        <v>1.3109560063360816E-2</v>
      </c>
      <c r="AO20" s="99" t="s">
        <v>70</v>
      </c>
    </row>
    <row r="21" spans="1:44" x14ac:dyDescent="0.2">
      <c r="A21" s="40">
        <v>62500</v>
      </c>
      <c r="B21" s="31" t="s">
        <v>25</v>
      </c>
      <c r="C21" s="39">
        <v>14.99</v>
      </c>
      <c r="D21" s="39"/>
      <c r="E21" s="39"/>
      <c r="F21" s="39"/>
      <c r="H21" s="50">
        <v>60200</v>
      </c>
      <c r="I21" s="47" t="s">
        <v>23</v>
      </c>
      <c r="J21" s="49">
        <v>16039.96</v>
      </c>
      <c r="K21" s="58">
        <f t="shared" si="0"/>
        <v>1336.6633333333332</v>
      </c>
      <c r="L21" s="48">
        <f t="shared" si="14"/>
        <v>9.8882741217913017E-3</v>
      </c>
      <c r="M21" s="47" t="s">
        <v>64</v>
      </c>
      <c r="O21" s="62">
        <v>60200</v>
      </c>
      <c r="P21" s="62" t="s">
        <v>23</v>
      </c>
      <c r="Q21" s="63">
        <v>8146.2</v>
      </c>
      <c r="R21" s="66">
        <f t="shared" si="1"/>
        <v>1357.7</v>
      </c>
      <c r="S21" s="62">
        <f t="shared" si="10"/>
        <v>7.5181625478573143E-3</v>
      </c>
      <c r="T21" s="62" t="s">
        <v>64</v>
      </c>
      <c r="V21" s="50">
        <v>60200</v>
      </c>
      <c r="W21" s="47" t="s">
        <v>23</v>
      </c>
      <c r="X21" s="49">
        <v>16039.96</v>
      </c>
      <c r="Y21" s="58">
        <f t="shared" si="11"/>
        <v>1336.6633333333332</v>
      </c>
      <c r="Z21" s="48">
        <f t="shared" si="15"/>
        <v>9.8882741217913017E-3</v>
      </c>
      <c r="AA21" s="47" t="s">
        <v>64</v>
      </c>
      <c r="AC21" s="70">
        <v>60200</v>
      </c>
      <c r="AD21" s="67" t="s">
        <v>23</v>
      </c>
      <c r="AE21" s="69">
        <v>16039.96</v>
      </c>
      <c r="AF21" s="78">
        <f t="shared" si="12"/>
        <v>1336.6633333333332</v>
      </c>
      <c r="AG21" s="68">
        <f t="shared" si="16"/>
        <v>9.8882741217913017E-3</v>
      </c>
      <c r="AH21" s="67" t="s">
        <v>64</v>
      </c>
      <c r="AJ21" s="105">
        <v>60200</v>
      </c>
      <c r="AK21" s="99" t="s">
        <v>23</v>
      </c>
      <c r="AL21" s="104">
        <v>16084.96</v>
      </c>
      <c r="AM21" s="113">
        <f t="shared" si="13"/>
        <v>1340.4133333333332</v>
      </c>
      <c r="AN21" s="101">
        <f t="shared" si="17"/>
        <v>9.9160156083960456E-3</v>
      </c>
      <c r="AO21" s="99" t="s">
        <v>64</v>
      </c>
    </row>
    <row r="22" spans="1:44" x14ac:dyDescent="0.2">
      <c r="A22" s="40">
        <v>63300</v>
      </c>
      <c r="B22" s="31" t="s">
        <v>26</v>
      </c>
      <c r="C22" s="39"/>
      <c r="D22" s="39"/>
      <c r="E22" s="39"/>
      <c r="F22" s="39"/>
      <c r="H22" s="50">
        <v>60400</v>
      </c>
      <c r="I22" s="47" t="s">
        <v>24</v>
      </c>
      <c r="J22" s="49">
        <v>1685.65</v>
      </c>
      <c r="K22" s="58">
        <f t="shared" si="0"/>
        <v>140.47083333333333</v>
      </c>
      <c r="L22" s="48">
        <f t="shared" si="14"/>
        <v>1.0391652643396562E-3</v>
      </c>
      <c r="M22" s="47" t="s">
        <v>71</v>
      </c>
      <c r="O22" s="62">
        <v>60400</v>
      </c>
      <c r="P22" s="62" t="s">
        <v>24</v>
      </c>
      <c r="Q22" s="63">
        <v>801.74</v>
      </c>
      <c r="R22" s="66">
        <f t="shared" si="1"/>
        <v>133.62333333333333</v>
      </c>
      <c r="S22" s="62">
        <f t="shared" si="10"/>
        <v>7.3992924813030901E-4</v>
      </c>
      <c r="T22" s="62" t="s">
        <v>71</v>
      </c>
      <c r="V22" s="50">
        <v>60400</v>
      </c>
      <c r="W22" s="47" t="s">
        <v>24</v>
      </c>
      <c r="X22" s="49">
        <v>1685.65</v>
      </c>
      <c r="Y22" s="58">
        <f t="shared" si="11"/>
        <v>140.47083333333333</v>
      </c>
      <c r="Z22" s="48">
        <f t="shared" si="15"/>
        <v>1.0391652643396562E-3</v>
      </c>
      <c r="AA22" s="47" t="s">
        <v>71</v>
      </c>
      <c r="AC22" s="70">
        <v>60400</v>
      </c>
      <c r="AD22" s="67" t="s">
        <v>24</v>
      </c>
      <c r="AE22" s="69">
        <v>1685.65</v>
      </c>
      <c r="AF22" s="78">
        <f t="shared" si="12"/>
        <v>140.47083333333333</v>
      </c>
      <c r="AG22" s="68">
        <f t="shared" si="16"/>
        <v>1.0391652643396562E-3</v>
      </c>
      <c r="AH22" s="67" t="s">
        <v>71</v>
      </c>
      <c r="AJ22" s="105">
        <v>60400</v>
      </c>
      <c r="AK22" s="99" t="s">
        <v>24</v>
      </c>
      <c r="AL22" s="104">
        <v>1685.65</v>
      </c>
      <c r="AM22" s="113">
        <f t="shared" si="13"/>
        <v>140.47083333333333</v>
      </c>
      <c r="AN22" s="101">
        <f t="shared" si="17"/>
        <v>1.0391652643396562E-3</v>
      </c>
      <c r="AO22" s="99" t="s">
        <v>71</v>
      </c>
    </row>
    <row r="23" spans="1:44" x14ac:dyDescent="0.2">
      <c r="A23" s="40">
        <v>63320</v>
      </c>
      <c r="B23" s="31" t="s">
        <v>27</v>
      </c>
      <c r="C23" s="39">
        <v>429</v>
      </c>
      <c r="D23" s="39"/>
      <c r="E23" s="39"/>
      <c r="F23" s="39"/>
      <c r="H23" s="50">
        <v>61000</v>
      </c>
      <c r="I23" s="47" t="s">
        <v>48</v>
      </c>
      <c r="J23" s="49">
        <v>575</v>
      </c>
      <c r="K23" s="58">
        <f t="shared" si="0"/>
        <v>47.916666666666664</v>
      </c>
      <c r="L23" s="48">
        <f t="shared" si="14"/>
        <v>3.5447455106060109E-4</v>
      </c>
      <c r="M23" s="47" t="s">
        <v>72</v>
      </c>
      <c r="O23" s="62">
        <v>61400</v>
      </c>
      <c r="P23" s="62" t="s">
        <v>49</v>
      </c>
      <c r="Q23" s="63">
        <v>3388.8</v>
      </c>
      <c r="R23" s="66">
        <f t="shared" si="1"/>
        <v>564.80000000000007</v>
      </c>
      <c r="S23" s="62">
        <f t="shared" si="10"/>
        <v>3.1275379001471692E-3</v>
      </c>
      <c r="T23" s="62"/>
      <c r="V23" s="50">
        <v>61000</v>
      </c>
      <c r="W23" s="47" t="s">
        <v>48</v>
      </c>
      <c r="X23" s="49">
        <v>575</v>
      </c>
      <c r="Y23" s="58">
        <f t="shared" si="11"/>
        <v>47.916666666666664</v>
      </c>
      <c r="Z23" s="48">
        <f t="shared" si="15"/>
        <v>3.5447455106060109E-4</v>
      </c>
      <c r="AA23" s="47" t="s">
        <v>72</v>
      </c>
      <c r="AC23" s="70">
        <v>61000</v>
      </c>
      <c r="AD23" s="67" t="s">
        <v>48</v>
      </c>
      <c r="AE23" s="69">
        <v>575</v>
      </c>
      <c r="AF23" s="78">
        <f t="shared" si="12"/>
        <v>47.916666666666664</v>
      </c>
      <c r="AG23" s="68">
        <f t="shared" si="16"/>
        <v>3.5447455106060109E-4</v>
      </c>
      <c r="AH23" s="67" t="s">
        <v>72</v>
      </c>
      <c r="AJ23" s="105">
        <v>61000</v>
      </c>
      <c r="AK23" s="99" t="s">
        <v>48</v>
      </c>
      <c r="AL23" s="104">
        <v>575</v>
      </c>
      <c r="AM23" s="113">
        <f t="shared" si="13"/>
        <v>47.916666666666664</v>
      </c>
      <c r="AN23" s="101">
        <f t="shared" si="17"/>
        <v>3.5447455106060109E-4</v>
      </c>
      <c r="AO23" s="99" t="s">
        <v>72</v>
      </c>
    </row>
    <row r="24" spans="1:44" x14ac:dyDescent="0.2">
      <c r="A24" s="40">
        <v>63300</v>
      </c>
      <c r="B24" s="31" t="s">
        <v>28</v>
      </c>
      <c r="C24" s="39">
        <v>565.52</v>
      </c>
      <c r="D24" s="39"/>
      <c r="E24" s="39"/>
      <c r="F24" s="39"/>
      <c r="H24" s="50">
        <v>61400</v>
      </c>
      <c r="I24" s="47" t="s">
        <v>49</v>
      </c>
      <c r="J24" s="49">
        <v>5089.76</v>
      </c>
      <c r="K24" s="58">
        <f t="shared" si="0"/>
        <v>424.1466666666667</v>
      </c>
      <c r="L24" s="48">
        <f t="shared" si="14"/>
        <v>3.1377224191412264E-3</v>
      </c>
      <c r="M24" s="47"/>
      <c r="O24" s="62">
        <v>61700</v>
      </c>
      <c r="P24" s="62" t="s">
        <v>50</v>
      </c>
      <c r="Q24" s="63">
        <v>926.6</v>
      </c>
      <c r="R24" s="66">
        <f t="shared" si="1"/>
        <v>154.43333333333334</v>
      </c>
      <c r="S24" s="62">
        <f t="shared" si="10"/>
        <v>8.5516307196540568E-4</v>
      </c>
      <c r="T24" s="62" t="s">
        <v>63</v>
      </c>
      <c r="V24" s="50">
        <v>61400</v>
      </c>
      <c r="W24" s="47" t="s">
        <v>49</v>
      </c>
      <c r="X24" s="49">
        <v>5089.76</v>
      </c>
      <c r="Y24" s="58">
        <f t="shared" si="11"/>
        <v>424.1466666666667</v>
      </c>
      <c r="Z24" s="48">
        <f t="shared" si="15"/>
        <v>3.1377224191412264E-3</v>
      </c>
      <c r="AA24" s="47"/>
      <c r="AC24" s="70">
        <v>61400</v>
      </c>
      <c r="AD24" s="67" t="s">
        <v>49</v>
      </c>
      <c r="AE24" s="69">
        <v>5089.76</v>
      </c>
      <c r="AF24" s="78">
        <f t="shared" si="12"/>
        <v>424.1466666666667</v>
      </c>
      <c r="AG24" s="68">
        <f t="shared" si="16"/>
        <v>3.1377224191412264E-3</v>
      </c>
      <c r="AH24" s="67"/>
      <c r="AJ24" s="105">
        <v>61400</v>
      </c>
      <c r="AK24" s="99" t="s">
        <v>49</v>
      </c>
      <c r="AL24" s="104">
        <v>0</v>
      </c>
      <c r="AM24" s="113">
        <f t="shared" si="13"/>
        <v>0</v>
      </c>
      <c r="AN24" s="101">
        <f t="shared" si="17"/>
        <v>0</v>
      </c>
      <c r="AO24" s="99"/>
    </row>
    <row r="25" spans="1:44" x14ac:dyDescent="0.2">
      <c r="A25" s="46" t="s">
        <v>16</v>
      </c>
      <c r="B25" s="31" t="s">
        <v>26</v>
      </c>
      <c r="C25" s="39">
        <f>SUM(C23:C24)</f>
        <v>994.52</v>
      </c>
      <c r="D25" s="39"/>
      <c r="E25" s="39"/>
      <c r="F25" s="39"/>
      <c r="H25" s="50">
        <v>61700</v>
      </c>
      <c r="I25" s="47" t="s">
        <v>50</v>
      </c>
      <c r="J25" s="49">
        <v>1725</v>
      </c>
      <c r="K25" s="58">
        <f t="shared" si="0"/>
        <v>143.75</v>
      </c>
      <c r="L25" s="48">
        <f t="shared" si="14"/>
        <v>1.0634236531818033E-3</v>
      </c>
      <c r="M25" s="47" t="s">
        <v>63</v>
      </c>
      <c r="N25" s="3"/>
      <c r="O25" s="62">
        <v>62500</v>
      </c>
      <c r="P25" s="62" t="s">
        <v>25</v>
      </c>
      <c r="Q25" s="63">
        <v>1499.34</v>
      </c>
      <c r="R25" s="66">
        <f t="shared" si="1"/>
        <v>249.89</v>
      </c>
      <c r="S25" s="62">
        <f t="shared" si="10"/>
        <v>1.3837472483494617E-3</v>
      </c>
      <c r="T25" s="62" t="s">
        <v>72</v>
      </c>
      <c r="V25" s="50">
        <v>61700</v>
      </c>
      <c r="W25" s="47" t="s">
        <v>50</v>
      </c>
      <c r="X25" s="49">
        <v>1725</v>
      </c>
      <c r="Y25" s="58">
        <f t="shared" si="11"/>
        <v>143.75</v>
      </c>
      <c r="Z25" s="48">
        <f t="shared" si="15"/>
        <v>1.0634236531818033E-3</v>
      </c>
      <c r="AA25" s="47" t="s">
        <v>63</v>
      </c>
      <c r="AC25" s="70">
        <v>61700</v>
      </c>
      <c r="AD25" s="67" t="s">
        <v>50</v>
      </c>
      <c r="AE25" s="69">
        <v>1725</v>
      </c>
      <c r="AF25" s="78">
        <f t="shared" si="12"/>
        <v>143.75</v>
      </c>
      <c r="AG25" s="68">
        <f t="shared" si="16"/>
        <v>1.0634236531818033E-3</v>
      </c>
      <c r="AH25" s="67" t="s">
        <v>63</v>
      </c>
      <c r="AJ25" s="105">
        <v>61700</v>
      </c>
      <c r="AK25" s="99" t="s">
        <v>50</v>
      </c>
      <c r="AL25" s="104">
        <v>1725</v>
      </c>
      <c r="AM25" s="113">
        <f t="shared" si="13"/>
        <v>143.75</v>
      </c>
      <c r="AN25" s="101">
        <f t="shared" si="17"/>
        <v>1.0634236531818033E-3</v>
      </c>
      <c r="AO25" s="99" t="s">
        <v>63</v>
      </c>
      <c r="AR25" s="4">
        <f>SUM(AL19:AL26,AL32:AL33,AL35:AL41)</f>
        <v>254820.16999999998</v>
      </c>
    </row>
    <row r="26" spans="1:44" x14ac:dyDescent="0.2">
      <c r="A26" s="40">
        <v>64300</v>
      </c>
      <c r="B26" s="31" t="s">
        <v>29</v>
      </c>
      <c r="C26" s="39">
        <v>81.91</v>
      </c>
      <c r="D26" s="39"/>
      <c r="E26" s="39"/>
      <c r="F26" s="39"/>
      <c r="H26" s="50">
        <v>62500</v>
      </c>
      <c r="I26" s="47" t="s">
        <v>25</v>
      </c>
      <c r="J26" s="49">
        <v>1499.34</v>
      </c>
      <c r="K26" s="58">
        <f t="shared" si="0"/>
        <v>124.94499999999999</v>
      </c>
      <c r="L26" s="48">
        <f t="shared" si="14"/>
        <v>9.2430934502122026E-4</v>
      </c>
      <c r="M26" s="47" t="s">
        <v>72</v>
      </c>
      <c r="N26" s="3"/>
      <c r="O26" s="62"/>
      <c r="P26" s="62"/>
      <c r="Q26" s="63"/>
      <c r="R26" s="66" t="str">
        <f t="shared" si="1"/>
        <v/>
      </c>
      <c r="S26" s="62"/>
      <c r="T26" s="62"/>
      <c r="V26" s="50">
        <v>62500</v>
      </c>
      <c r="W26" s="47" t="s">
        <v>25</v>
      </c>
      <c r="X26" s="49">
        <v>1499.34</v>
      </c>
      <c r="Y26" s="58">
        <f t="shared" si="11"/>
        <v>124.94499999999999</v>
      </c>
      <c r="Z26" s="48">
        <f t="shared" si="15"/>
        <v>9.2430934502122026E-4</v>
      </c>
      <c r="AA26" s="47" t="s">
        <v>72</v>
      </c>
      <c r="AC26" s="70">
        <v>62500</v>
      </c>
      <c r="AD26" s="67" t="s">
        <v>25</v>
      </c>
      <c r="AE26" s="69">
        <v>1499.34</v>
      </c>
      <c r="AF26" s="78">
        <f t="shared" si="12"/>
        <v>124.94499999999999</v>
      </c>
      <c r="AG26" s="68">
        <f t="shared" si="16"/>
        <v>9.2430934502122026E-4</v>
      </c>
      <c r="AH26" s="67" t="s">
        <v>72</v>
      </c>
      <c r="AJ26" s="105">
        <v>62500</v>
      </c>
      <c r="AK26" s="99" t="s">
        <v>25</v>
      </c>
      <c r="AL26" s="104">
        <v>1499.34</v>
      </c>
      <c r="AM26" s="113">
        <f t="shared" si="13"/>
        <v>124.94499999999999</v>
      </c>
      <c r="AN26" s="101">
        <f t="shared" si="17"/>
        <v>9.2430934502122026E-4</v>
      </c>
      <c r="AO26" s="99" t="s">
        <v>72</v>
      </c>
    </row>
    <row r="27" spans="1:44" x14ac:dyDescent="0.2">
      <c r="A27" s="40">
        <v>66000</v>
      </c>
      <c r="B27" s="31" t="s">
        <v>30</v>
      </c>
      <c r="C27" s="39">
        <v>7700</v>
      </c>
      <c r="D27" s="39"/>
      <c r="E27" s="39"/>
      <c r="F27" s="39"/>
      <c r="H27" s="50"/>
      <c r="I27" s="47"/>
      <c r="J27" s="49"/>
      <c r="K27" s="58"/>
      <c r="L27" s="48"/>
      <c r="M27" s="47"/>
      <c r="O27" s="62">
        <v>63300</v>
      </c>
      <c r="P27" s="62" t="s">
        <v>26</v>
      </c>
      <c r="Q27" s="63"/>
      <c r="R27" s="66" t="str">
        <f t="shared" si="1"/>
        <v/>
      </c>
      <c r="S27" s="62"/>
      <c r="T27" s="62"/>
      <c r="V27" s="50"/>
      <c r="W27" s="47"/>
      <c r="X27" s="49"/>
      <c r="Y27" s="58"/>
      <c r="Z27" s="48"/>
      <c r="AA27" s="47"/>
      <c r="AC27" s="70"/>
      <c r="AD27" s="67"/>
      <c r="AE27" s="69"/>
      <c r="AF27" s="78"/>
      <c r="AG27" s="68"/>
      <c r="AH27" s="67"/>
      <c r="AJ27" s="105"/>
      <c r="AK27" s="99"/>
      <c r="AL27" s="104"/>
      <c r="AM27" s="113"/>
      <c r="AN27" s="101"/>
      <c r="AO27" s="99"/>
    </row>
    <row r="28" spans="1:44" x14ac:dyDescent="0.2">
      <c r="A28" s="40">
        <v>68100</v>
      </c>
      <c r="B28" s="31" t="s">
        <v>31</v>
      </c>
      <c r="C28" s="39">
        <v>442.26</v>
      </c>
      <c r="D28" s="39"/>
      <c r="E28" s="39"/>
      <c r="F28" s="39"/>
      <c r="H28" s="50">
        <v>63300</v>
      </c>
      <c r="I28" s="51" t="s">
        <v>26</v>
      </c>
      <c r="J28" s="49"/>
      <c r="K28" s="58"/>
      <c r="L28" s="48"/>
      <c r="M28" s="47"/>
      <c r="O28" s="62">
        <v>63320</v>
      </c>
      <c r="P28" s="62" t="s">
        <v>27</v>
      </c>
      <c r="Q28" s="63">
        <v>400</v>
      </c>
      <c r="R28" s="66">
        <f t="shared" si="1"/>
        <v>66.666666666666671</v>
      </c>
      <c r="S28" s="62">
        <f>R28/$R$8</f>
        <v>3.6916169737336745E-4</v>
      </c>
      <c r="T28" s="62" t="s">
        <v>66</v>
      </c>
      <c r="V28" s="50">
        <v>63300</v>
      </c>
      <c r="W28" s="51" t="s">
        <v>26</v>
      </c>
      <c r="X28" s="49"/>
      <c r="Y28" s="58"/>
      <c r="Z28" s="48"/>
      <c r="AA28" s="47"/>
      <c r="AC28" s="70">
        <v>63300</v>
      </c>
      <c r="AD28" s="71" t="s">
        <v>26</v>
      </c>
      <c r="AE28" s="69"/>
      <c r="AF28" s="78"/>
      <c r="AG28" s="68"/>
      <c r="AH28" s="67"/>
      <c r="AJ28" s="105">
        <v>63300</v>
      </c>
      <c r="AK28" s="106" t="s">
        <v>26</v>
      </c>
      <c r="AL28" s="104"/>
      <c r="AM28" s="113"/>
      <c r="AN28" s="101"/>
      <c r="AO28" s="99"/>
    </row>
    <row r="29" spans="1:44" x14ac:dyDescent="0.2">
      <c r="A29" s="40">
        <v>68600</v>
      </c>
      <c r="B29" s="31" t="s">
        <v>32</v>
      </c>
      <c r="C29" s="39">
        <v>141.80000000000001</v>
      </c>
      <c r="D29" s="39"/>
      <c r="E29" s="39"/>
      <c r="F29" s="39"/>
      <c r="H29" s="50">
        <v>63320</v>
      </c>
      <c r="I29" s="59" t="s">
        <v>27</v>
      </c>
      <c r="J29" s="49">
        <v>1000</v>
      </c>
      <c r="K29" s="58">
        <f t="shared" si="0"/>
        <v>83.333333333333329</v>
      </c>
      <c r="L29" s="48">
        <f t="shared" ref="L29:L43" si="18">K29/$K$8</f>
        <v>6.164774801053932E-4</v>
      </c>
      <c r="M29" s="47" t="s">
        <v>66</v>
      </c>
      <c r="O29" s="62">
        <v>63330</v>
      </c>
      <c r="P29" s="62" t="s">
        <v>51</v>
      </c>
      <c r="Q29" s="63">
        <v>2957.5</v>
      </c>
      <c r="R29" s="66">
        <f t="shared" si="1"/>
        <v>492.91666666666669</v>
      </c>
      <c r="S29" s="62">
        <f>R29/$R$8</f>
        <v>2.7294892999543355E-3</v>
      </c>
      <c r="T29" s="62" t="s">
        <v>66</v>
      </c>
      <c r="V29" s="50">
        <v>63320</v>
      </c>
      <c r="W29" s="59" t="s">
        <v>27</v>
      </c>
      <c r="X29" s="49">
        <v>1000</v>
      </c>
      <c r="Y29" s="58">
        <f t="shared" ref="Y29:Y41" si="19">X29/12</f>
        <v>83.333333333333329</v>
      </c>
      <c r="Z29" s="48">
        <f t="shared" ref="Z29:Z41" si="20">Y29/$K$8</f>
        <v>6.164774801053932E-4</v>
      </c>
      <c r="AA29" s="47" t="s">
        <v>66</v>
      </c>
      <c r="AC29" s="70">
        <v>63320</v>
      </c>
      <c r="AD29" s="79" t="s">
        <v>27</v>
      </c>
      <c r="AE29" s="69">
        <v>1000</v>
      </c>
      <c r="AF29" s="78">
        <f t="shared" ref="AF29:AF41" si="21">AE29/12</f>
        <v>83.333333333333329</v>
      </c>
      <c r="AG29" s="68">
        <f t="shared" ref="AG29:AG41" si="22">AF29/$K$8</f>
        <v>6.164774801053932E-4</v>
      </c>
      <c r="AH29" s="67" t="s">
        <v>66</v>
      </c>
      <c r="AJ29" s="105">
        <v>63320</v>
      </c>
      <c r="AK29" s="114" t="s">
        <v>27</v>
      </c>
      <c r="AL29" s="104">
        <v>1000</v>
      </c>
      <c r="AM29" s="113">
        <f t="shared" ref="AM29:AM41" si="23">AL29/12</f>
        <v>83.333333333333329</v>
      </c>
      <c r="AN29" s="101">
        <f t="shared" ref="AN29:AN41" si="24">AM29/$K$8</f>
        <v>6.164774801053932E-4</v>
      </c>
      <c r="AO29" s="99" t="s">
        <v>66</v>
      </c>
    </row>
    <row r="30" spans="1:44" x14ac:dyDescent="0.2">
      <c r="A30" s="46"/>
      <c r="B30" s="31" t="s">
        <v>5</v>
      </c>
      <c r="C30" s="39">
        <f>SUM(C17:C24,C26:C29)</f>
        <v>11651.46</v>
      </c>
      <c r="D30" s="39"/>
      <c r="E30" s="39"/>
      <c r="F30" s="39"/>
      <c r="H30" s="50">
        <v>63330</v>
      </c>
      <c r="I30" s="59" t="s">
        <v>51</v>
      </c>
      <c r="J30" s="49">
        <v>5406.7</v>
      </c>
      <c r="K30" s="58">
        <f t="shared" si="0"/>
        <v>450.55833333333334</v>
      </c>
      <c r="L30" s="48">
        <f t="shared" si="18"/>
        <v>3.3331087916858297E-3</v>
      </c>
      <c r="M30" s="47" t="s">
        <v>66</v>
      </c>
      <c r="O30" s="62">
        <v>63300</v>
      </c>
      <c r="P30" s="62" t="s">
        <v>52</v>
      </c>
      <c r="Q30" s="64">
        <v>3803.36</v>
      </c>
      <c r="R30" s="66">
        <f t="shared" si="1"/>
        <v>633.89333333333332</v>
      </c>
      <c r="S30" s="62">
        <f>R30/$R$8</f>
        <v>3.5101370833049267E-3</v>
      </c>
      <c r="T30" s="62" t="s">
        <v>66</v>
      </c>
      <c r="V30" s="50">
        <v>63330</v>
      </c>
      <c r="W30" s="59" t="s">
        <v>51</v>
      </c>
      <c r="X30" s="49">
        <v>5406.7</v>
      </c>
      <c r="Y30" s="58">
        <f t="shared" si="19"/>
        <v>450.55833333333334</v>
      </c>
      <c r="Z30" s="48">
        <f t="shared" si="20"/>
        <v>3.3331087916858297E-3</v>
      </c>
      <c r="AA30" s="47" t="s">
        <v>66</v>
      </c>
      <c r="AC30" s="70">
        <v>63330</v>
      </c>
      <c r="AD30" s="79" t="s">
        <v>51</v>
      </c>
      <c r="AE30" s="69">
        <v>5406.7</v>
      </c>
      <c r="AF30" s="78">
        <f t="shared" si="21"/>
        <v>450.55833333333334</v>
      </c>
      <c r="AG30" s="68">
        <f t="shared" si="22"/>
        <v>3.3331087916858297E-3</v>
      </c>
      <c r="AH30" s="67" t="s">
        <v>66</v>
      </c>
      <c r="AJ30" s="105">
        <v>63330</v>
      </c>
      <c r="AK30" s="114" t="s">
        <v>51</v>
      </c>
      <c r="AL30" s="104">
        <v>5406.7</v>
      </c>
      <c r="AM30" s="113">
        <f t="shared" si="23"/>
        <v>450.55833333333334</v>
      </c>
      <c r="AN30" s="101">
        <f t="shared" si="24"/>
        <v>3.3331087916858297E-3</v>
      </c>
      <c r="AO30" s="99" t="s">
        <v>66</v>
      </c>
    </row>
    <row r="31" spans="1:44" ht="15" x14ac:dyDescent="0.2">
      <c r="A31" s="46"/>
      <c r="B31" s="31" t="s">
        <v>6</v>
      </c>
      <c r="C31" s="39">
        <f>C16-C30</f>
        <v>2762.1100000000006</v>
      </c>
      <c r="D31" s="39"/>
      <c r="E31" s="39"/>
      <c r="F31" s="39"/>
      <c r="H31" s="50">
        <v>63300</v>
      </c>
      <c r="I31" s="59" t="s">
        <v>52</v>
      </c>
      <c r="J31" s="55">
        <v>7783.78</v>
      </c>
      <c r="K31" s="56">
        <f t="shared" si="0"/>
        <v>648.64833333333331</v>
      </c>
      <c r="L31" s="48">
        <f t="shared" si="18"/>
        <v>4.7985250800947577E-3</v>
      </c>
      <c r="M31" s="47" t="s">
        <v>66</v>
      </c>
      <c r="O31" s="62" t="s">
        <v>16</v>
      </c>
      <c r="P31" s="62" t="s">
        <v>26</v>
      </c>
      <c r="Q31" s="63">
        <v>7160.86</v>
      </c>
      <c r="R31" s="66">
        <f t="shared" si="1"/>
        <v>1193.4766666666667</v>
      </c>
      <c r="S31" s="62">
        <f>R31/$R$8</f>
        <v>6.6087880806326299E-3</v>
      </c>
      <c r="T31" s="62"/>
      <c r="V31" s="50">
        <v>63300</v>
      </c>
      <c r="W31" s="59" t="s">
        <v>52</v>
      </c>
      <c r="X31" s="55">
        <v>7783.78</v>
      </c>
      <c r="Y31" s="56">
        <f t="shared" si="19"/>
        <v>648.64833333333331</v>
      </c>
      <c r="Z31" s="48">
        <f t="shared" si="20"/>
        <v>4.7985250800947577E-3</v>
      </c>
      <c r="AA31" s="47" t="s">
        <v>66</v>
      </c>
      <c r="AC31" s="70">
        <v>63300</v>
      </c>
      <c r="AD31" s="79" t="s">
        <v>52</v>
      </c>
      <c r="AE31" s="75">
        <v>7783.78</v>
      </c>
      <c r="AF31" s="76">
        <f t="shared" si="21"/>
        <v>648.64833333333331</v>
      </c>
      <c r="AG31" s="68">
        <f t="shared" si="22"/>
        <v>4.7985250800947577E-3</v>
      </c>
      <c r="AH31" s="67" t="s">
        <v>66</v>
      </c>
      <c r="AJ31" s="105">
        <v>63300</v>
      </c>
      <c r="AK31" s="114" t="s">
        <v>52</v>
      </c>
      <c r="AL31" s="110">
        <v>7783.78</v>
      </c>
      <c r="AM31" s="111">
        <f t="shared" si="23"/>
        <v>648.64833333333331</v>
      </c>
      <c r="AN31" s="101">
        <f t="shared" si="24"/>
        <v>4.7985250800947577E-3</v>
      </c>
      <c r="AO31" s="99" t="s">
        <v>66</v>
      </c>
    </row>
    <row r="32" spans="1:44" x14ac:dyDescent="0.2">
      <c r="A32" s="46"/>
      <c r="B32" s="31" t="s">
        <v>3</v>
      </c>
      <c r="C32" s="39"/>
      <c r="D32" s="39"/>
      <c r="E32" s="39"/>
      <c r="F32" s="39"/>
      <c r="H32" s="50" t="s">
        <v>16</v>
      </c>
      <c r="I32" s="59" t="s">
        <v>26</v>
      </c>
      <c r="J32" s="49">
        <v>14190.48</v>
      </c>
      <c r="K32" s="58">
        <f t="shared" si="0"/>
        <v>1182.54</v>
      </c>
      <c r="L32" s="48">
        <f t="shared" si="18"/>
        <v>8.7481113518859798E-3</v>
      </c>
      <c r="M32" s="47"/>
      <c r="O32" s="62"/>
      <c r="P32" s="62"/>
      <c r="Q32" s="63"/>
      <c r="R32" s="66" t="str">
        <f t="shared" si="1"/>
        <v/>
      </c>
      <c r="S32" s="62"/>
      <c r="T32" s="62"/>
      <c r="V32" s="50" t="s">
        <v>16</v>
      </c>
      <c r="W32" s="59" t="s">
        <v>26</v>
      </c>
      <c r="X32" s="49">
        <f>SUM(X29:X31)</f>
        <v>14190.48</v>
      </c>
      <c r="Y32" s="58">
        <f t="shared" si="19"/>
        <v>1182.54</v>
      </c>
      <c r="Z32" s="48">
        <f t="shared" si="20"/>
        <v>8.7481113518859798E-3</v>
      </c>
      <c r="AA32" s="47"/>
      <c r="AC32" s="70" t="s">
        <v>16</v>
      </c>
      <c r="AD32" s="79" t="s">
        <v>26</v>
      </c>
      <c r="AE32" s="69">
        <f>SUM(AE29:AE31)</f>
        <v>14190.48</v>
      </c>
      <c r="AF32" s="78">
        <f t="shared" si="21"/>
        <v>1182.54</v>
      </c>
      <c r="AG32" s="68">
        <f t="shared" si="22"/>
        <v>8.7481113518859798E-3</v>
      </c>
      <c r="AH32" s="67"/>
      <c r="AJ32" s="105" t="s">
        <v>16</v>
      </c>
      <c r="AK32" s="114" t="s">
        <v>26</v>
      </c>
      <c r="AL32" s="104">
        <f>SUM(AL29:AL31)</f>
        <v>14190.48</v>
      </c>
      <c r="AM32" s="113">
        <f t="shared" si="23"/>
        <v>1182.54</v>
      </c>
      <c r="AN32" s="101">
        <f t="shared" si="24"/>
        <v>8.7481113518859798E-3</v>
      </c>
      <c r="AO32" s="99"/>
    </row>
    <row r="33" spans="1:41" x14ac:dyDescent="0.2">
      <c r="A33" s="46"/>
      <c r="B33" s="31" t="s">
        <v>4</v>
      </c>
      <c r="C33" s="39"/>
      <c r="D33" s="39"/>
      <c r="E33" s="39"/>
      <c r="F33" s="39"/>
      <c r="H33" s="50">
        <v>64300</v>
      </c>
      <c r="I33" s="47" t="s">
        <v>29</v>
      </c>
      <c r="J33" s="49">
        <v>18741.650000000001</v>
      </c>
      <c r="K33" s="58">
        <f t="shared" si="0"/>
        <v>1561.8041666666668</v>
      </c>
      <c r="L33" s="48">
        <f t="shared" si="18"/>
        <v>1.1553805165017243E-2</v>
      </c>
      <c r="M33" s="47" t="s">
        <v>73</v>
      </c>
      <c r="O33" s="62">
        <v>64300</v>
      </c>
      <c r="P33" s="62" t="s">
        <v>29</v>
      </c>
      <c r="Q33" s="63">
        <v>13573.58</v>
      </c>
      <c r="R33" s="66">
        <f t="shared" si="1"/>
        <v>2262.2633333333333</v>
      </c>
      <c r="S33" s="62">
        <f t="shared" ref="S33:S43" si="25">R33/$R$8</f>
        <v>1.2527114580582982E-2</v>
      </c>
      <c r="T33" s="62" t="s">
        <v>73</v>
      </c>
      <c r="V33" s="50">
        <v>64300</v>
      </c>
      <c r="W33" s="47" t="s">
        <v>29</v>
      </c>
      <c r="X33" s="49">
        <v>18741.650000000001</v>
      </c>
      <c r="Y33" s="58">
        <f t="shared" si="19"/>
        <v>1561.8041666666668</v>
      </c>
      <c r="Z33" s="48">
        <f t="shared" si="20"/>
        <v>1.1553805165017243E-2</v>
      </c>
      <c r="AA33" s="47" t="s">
        <v>73</v>
      </c>
      <c r="AC33" s="70">
        <v>64300</v>
      </c>
      <c r="AD33" s="67" t="s">
        <v>29</v>
      </c>
      <c r="AE33" s="69">
        <v>18741.650000000001</v>
      </c>
      <c r="AF33" s="78">
        <f t="shared" si="21"/>
        <v>1561.8041666666668</v>
      </c>
      <c r="AG33" s="68">
        <f t="shared" si="22"/>
        <v>1.1553805165017243E-2</v>
      </c>
      <c r="AH33" s="67" t="s">
        <v>73</v>
      </c>
      <c r="AJ33" s="105">
        <v>64300</v>
      </c>
      <c r="AK33" s="99" t="s">
        <v>29</v>
      </c>
      <c r="AL33" s="104">
        <v>21692.61</v>
      </c>
      <c r="AM33" s="113">
        <f t="shared" si="23"/>
        <v>1807.7175</v>
      </c>
      <c r="AN33" s="101">
        <f t="shared" si="24"/>
        <v>1.3373005549709055E-2</v>
      </c>
      <c r="AO33" s="99" t="s">
        <v>73</v>
      </c>
    </row>
    <row r="34" spans="1:41" x14ac:dyDescent="0.2">
      <c r="A34" s="40">
        <v>68000</v>
      </c>
      <c r="B34" s="31" t="s">
        <v>33</v>
      </c>
      <c r="C34" s="39">
        <v>5268</v>
      </c>
      <c r="D34" s="39"/>
      <c r="E34" s="39"/>
      <c r="F34" s="39"/>
      <c r="G34" s="4"/>
      <c r="H34" s="50">
        <v>64700</v>
      </c>
      <c r="I34" s="47" t="s">
        <v>53</v>
      </c>
      <c r="J34" s="49">
        <v>-3252.13</v>
      </c>
      <c r="K34" s="58">
        <f t="shared" si="0"/>
        <v>-271.01083333333332</v>
      </c>
      <c r="L34" s="48">
        <f t="shared" si="18"/>
        <v>-2.0048649073751523E-3</v>
      </c>
      <c r="M34" s="47"/>
      <c r="O34" s="62">
        <v>64700</v>
      </c>
      <c r="P34" s="62" t="s">
        <v>53</v>
      </c>
      <c r="Q34" s="63">
        <v>-144.65</v>
      </c>
      <c r="R34" s="66">
        <f t="shared" si="1"/>
        <v>-24.108333333333334</v>
      </c>
      <c r="S34" s="62">
        <f t="shared" si="25"/>
        <v>-1.3349809881264401E-4</v>
      </c>
      <c r="T34" s="62"/>
      <c r="V34" s="50">
        <v>64700</v>
      </c>
      <c r="W34" s="47" t="s">
        <v>53</v>
      </c>
      <c r="X34" s="49">
        <v>-3252.13</v>
      </c>
      <c r="Y34" s="58">
        <f t="shared" si="19"/>
        <v>-271.01083333333332</v>
      </c>
      <c r="Z34" s="48">
        <f t="shared" si="20"/>
        <v>-2.0048649073751523E-3</v>
      </c>
      <c r="AA34" s="47"/>
      <c r="AC34" s="70">
        <v>64700</v>
      </c>
      <c r="AD34" s="67" t="s">
        <v>53</v>
      </c>
      <c r="AE34" s="69">
        <v>-3252.13</v>
      </c>
      <c r="AF34" s="78">
        <f t="shared" si="21"/>
        <v>-271.01083333333332</v>
      </c>
      <c r="AG34" s="68">
        <f t="shared" si="22"/>
        <v>-2.0048649073751523E-3</v>
      </c>
      <c r="AH34" s="67"/>
      <c r="AJ34" s="105">
        <v>64700</v>
      </c>
      <c r="AK34" s="99" t="s">
        <v>53</v>
      </c>
      <c r="AL34" s="104">
        <v>-3252.13</v>
      </c>
      <c r="AM34" s="113">
        <f t="shared" si="23"/>
        <v>-271.01083333333332</v>
      </c>
      <c r="AN34" s="101">
        <f t="shared" si="24"/>
        <v>-2.0048649073751523E-3</v>
      </c>
      <c r="AO34" s="99"/>
    </row>
    <row r="35" spans="1:41" x14ac:dyDescent="0.2">
      <c r="A35" s="31"/>
      <c r="B35" s="31" t="s">
        <v>9</v>
      </c>
      <c r="C35" s="39">
        <v>5268</v>
      </c>
      <c r="D35" s="39"/>
      <c r="E35" s="39"/>
      <c r="F35" s="39"/>
      <c r="H35" s="50">
        <v>64900</v>
      </c>
      <c r="I35" s="47" t="s">
        <v>54</v>
      </c>
      <c r="J35" s="49">
        <v>4584.09</v>
      </c>
      <c r="K35" s="58">
        <f t="shared" si="0"/>
        <v>382.00749999999999</v>
      </c>
      <c r="L35" s="48">
        <f t="shared" si="18"/>
        <v>2.8259882517763322E-3</v>
      </c>
      <c r="M35" s="47" t="s">
        <v>62</v>
      </c>
      <c r="O35" s="62">
        <v>64900</v>
      </c>
      <c r="P35" s="62" t="s">
        <v>54</v>
      </c>
      <c r="Q35" s="63">
        <v>2840.75</v>
      </c>
      <c r="R35" s="66">
        <f t="shared" si="1"/>
        <v>473.45833333333331</v>
      </c>
      <c r="S35" s="62">
        <f t="shared" si="25"/>
        <v>2.6217402295334838E-3</v>
      </c>
      <c r="T35" s="62" t="s">
        <v>62</v>
      </c>
      <c r="V35" s="50">
        <v>64900</v>
      </c>
      <c r="W35" s="47" t="s">
        <v>54</v>
      </c>
      <c r="X35" s="49">
        <v>4584.09</v>
      </c>
      <c r="Y35" s="58">
        <f t="shared" si="19"/>
        <v>382.00749999999999</v>
      </c>
      <c r="Z35" s="48">
        <f t="shared" si="20"/>
        <v>2.8259882517763322E-3</v>
      </c>
      <c r="AA35" s="47" t="s">
        <v>62</v>
      </c>
      <c r="AC35" s="70">
        <v>64900</v>
      </c>
      <c r="AD35" s="67" t="s">
        <v>54</v>
      </c>
      <c r="AE35" s="69">
        <v>4584.09</v>
      </c>
      <c r="AF35" s="78">
        <f t="shared" si="21"/>
        <v>382.00749999999999</v>
      </c>
      <c r="AG35" s="68">
        <f t="shared" si="22"/>
        <v>2.8259882517763322E-3</v>
      </c>
      <c r="AH35" s="67" t="s">
        <v>62</v>
      </c>
      <c r="AJ35" s="105">
        <v>64900</v>
      </c>
      <c r="AK35" s="99" t="s">
        <v>54</v>
      </c>
      <c r="AL35" s="104">
        <v>4584.09</v>
      </c>
      <c r="AM35" s="113">
        <f t="shared" si="23"/>
        <v>382.00749999999999</v>
      </c>
      <c r="AN35" s="101">
        <f t="shared" si="24"/>
        <v>2.8259882517763322E-3</v>
      </c>
      <c r="AO35" s="99" t="s">
        <v>62</v>
      </c>
    </row>
    <row r="36" spans="1:41" x14ac:dyDescent="0.2">
      <c r="A36" s="31"/>
      <c r="B36" s="31" t="s">
        <v>7</v>
      </c>
      <c r="C36" s="39">
        <v>-5268</v>
      </c>
      <c r="D36" s="39"/>
      <c r="E36" s="39"/>
      <c r="F36" s="39"/>
      <c r="H36" s="50">
        <v>66000</v>
      </c>
      <c r="I36" s="47" t="s">
        <v>30</v>
      </c>
      <c r="J36" s="49">
        <v>113925</v>
      </c>
      <c r="K36" s="58">
        <f t="shared" si="0"/>
        <v>9493.75</v>
      </c>
      <c r="L36" s="48">
        <f t="shared" si="18"/>
        <v>7.023219692100692E-2</v>
      </c>
      <c r="M36" s="47" t="s">
        <v>60</v>
      </c>
      <c r="O36" s="62">
        <v>66000</v>
      </c>
      <c r="P36" s="62" t="s">
        <v>30</v>
      </c>
      <c r="Q36" s="63">
        <v>52375</v>
      </c>
      <c r="R36" s="66">
        <f t="shared" si="1"/>
        <v>8729.1666666666661</v>
      </c>
      <c r="S36" s="62">
        <f t="shared" si="25"/>
        <v>4.8337109749825295E-2</v>
      </c>
      <c r="T36" s="62" t="s">
        <v>60</v>
      </c>
      <c r="V36" s="50">
        <v>66000</v>
      </c>
      <c r="W36" s="47" t="s">
        <v>30</v>
      </c>
      <c r="X36" s="49">
        <v>114725</v>
      </c>
      <c r="Y36" s="58">
        <f t="shared" si="19"/>
        <v>9560.4166666666661</v>
      </c>
      <c r="Z36" s="48">
        <f t="shared" si="20"/>
        <v>7.072537890509123E-2</v>
      </c>
      <c r="AA36" s="47" t="s">
        <v>60</v>
      </c>
      <c r="AC36" s="70">
        <v>66000</v>
      </c>
      <c r="AD36" s="67" t="s">
        <v>30</v>
      </c>
      <c r="AE36" s="69">
        <v>114725</v>
      </c>
      <c r="AF36" s="78">
        <f t="shared" si="21"/>
        <v>9560.4166666666661</v>
      </c>
      <c r="AG36" s="68">
        <f t="shared" si="22"/>
        <v>7.072537890509123E-2</v>
      </c>
      <c r="AH36" s="67" t="s">
        <v>60</v>
      </c>
      <c r="AJ36" s="105">
        <v>66000</v>
      </c>
      <c r="AK36" s="99" t="s">
        <v>30</v>
      </c>
      <c r="AL36" s="104">
        <v>115735</v>
      </c>
      <c r="AM36" s="113">
        <f t="shared" si="23"/>
        <v>9644.5833333333339</v>
      </c>
      <c r="AN36" s="101">
        <f t="shared" si="24"/>
        <v>7.1348021159997693E-2</v>
      </c>
      <c r="AO36" s="99" t="s">
        <v>60</v>
      </c>
    </row>
    <row r="37" spans="1:41" x14ac:dyDescent="0.2">
      <c r="A37" s="31"/>
      <c r="B37" s="31" t="s">
        <v>8</v>
      </c>
      <c r="C37" s="39">
        <f>C35-C31</f>
        <v>2505.8899999999994</v>
      </c>
      <c r="D37" s="39"/>
      <c r="E37" s="39"/>
      <c r="F37" s="39"/>
      <c r="G37" s="4"/>
      <c r="H37" s="50">
        <v>66500</v>
      </c>
      <c r="I37" s="47" t="s">
        <v>55</v>
      </c>
      <c r="J37" s="49">
        <v>168.84</v>
      </c>
      <c r="K37" s="58">
        <f t="shared" si="0"/>
        <v>14.07</v>
      </c>
      <c r="L37" s="48">
        <f t="shared" si="18"/>
        <v>1.040860577409946E-4</v>
      </c>
      <c r="M37" s="47" t="s">
        <v>74</v>
      </c>
      <c r="O37" s="62">
        <v>66500</v>
      </c>
      <c r="P37" s="62" t="s">
        <v>55</v>
      </c>
      <c r="Q37" s="63">
        <v>73</v>
      </c>
      <c r="R37" s="66">
        <f t="shared" si="1"/>
        <v>12.166666666666666</v>
      </c>
      <c r="S37" s="62">
        <f t="shared" si="25"/>
        <v>6.7372009770639557E-5</v>
      </c>
      <c r="T37" s="62" t="s">
        <v>74</v>
      </c>
      <c r="V37" s="50">
        <v>66500</v>
      </c>
      <c r="W37" s="47" t="s">
        <v>55</v>
      </c>
      <c r="X37" s="49">
        <v>168.84</v>
      </c>
      <c r="Y37" s="58">
        <f t="shared" si="19"/>
        <v>14.07</v>
      </c>
      <c r="Z37" s="48">
        <f t="shared" si="20"/>
        <v>1.040860577409946E-4</v>
      </c>
      <c r="AA37" s="47" t="s">
        <v>74</v>
      </c>
      <c r="AC37" s="70">
        <v>66500</v>
      </c>
      <c r="AD37" s="67" t="s">
        <v>55</v>
      </c>
      <c r="AE37" s="69">
        <v>168.84</v>
      </c>
      <c r="AF37" s="78">
        <f t="shared" si="21"/>
        <v>14.07</v>
      </c>
      <c r="AG37" s="68">
        <f t="shared" si="22"/>
        <v>1.040860577409946E-4</v>
      </c>
      <c r="AH37" s="67" t="s">
        <v>74</v>
      </c>
      <c r="AJ37" s="105">
        <v>66500</v>
      </c>
      <c r="AK37" s="99" t="s">
        <v>55</v>
      </c>
      <c r="AL37" s="104">
        <v>168.84</v>
      </c>
      <c r="AM37" s="113">
        <f t="shared" si="23"/>
        <v>14.07</v>
      </c>
      <c r="AN37" s="101">
        <f t="shared" si="24"/>
        <v>1.040860577409946E-4</v>
      </c>
      <c r="AO37" s="99" t="s">
        <v>74</v>
      </c>
    </row>
    <row r="38" spans="1:41" x14ac:dyDescent="0.2">
      <c r="A38" s="31"/>
      <c r="B38" s="31"/>
      <c r="C38" s="31"/>
      <c r="D38" s="31"/>
      <c r="E38" s="31"/>
      <c r="F38" s="31"/>
      <c r="H38" s="50">
        <v>66700</v>
      </c>
      <c r="I38" s="47" t="s">
        <v>56</v>
      </c>
      <c r="J38" s="49">
        <v>3772</v>
      </c>
      <c r="K38" s="58">
        <f t="shared" si="0"/>
        <v>314.33333333333331</v>
      </c>
      <c r="L38" s="48">
        <f t="shared" si="18"/>
        <v>2.3253530549575429E-3</v>
      </c>
      <c r="M38" s="47" t="s">
        <v>72</v>
      </c>
      <c r="O38" s="62">
        <v>66700</v>
      </c>
      <c r="P38" s="62" t="s">
        <v>56</v>
      </c>
      <c r="Q38" s="63">
        <v>2400</v>
      </c>
      <c r="R38" s="66">
        <f t="shared" si="1"/>
        <v>400</v>
      </c>
      <c r="S38" s="62">
        <f t="shared" si="25"/>
        <v>2.2149701842402044E-3</v>
      </c>
      <c r="T38" s="62" t="s">
        <v>72</v>
      </c>
      <c r="V38" s="50">
        <v>66700</v>
      </c>
      <c r="W38" s="47" t="s">
        <v>56</v>
      </c>
      <c r="X38" s="49">
        <v>3772</v>
      </c>
      <c r="Y38" s="58">
        <f t="shared" si="19"/>
        <v>314.33333333333331</v>
      </c>
      <c r="Z38" s="48">
        <f t="shared" si="20"/>
        <v>2.3253530549575429E-3</v>
      </c>
      <c r="AA38" s="47" t="s">
        <v>72</v>
      </c>
      <c r="AC38" s="70">
        <v>66700</v>
      </c>
      <c r="AD38" s="67" t="s">
        <v>56</v>
      </c>
      <c r="AE38" s="69">
        <v>3772</v>
      </c>
      <c r="AF38" s="78">
        <f t="shared" si="21"/>
        <v>314.33333333333331</v>
      </c>
      <c r="AG38" s="68">
        <f t="shared" si="22"/>
        <v>2.3253530549575429E-3</v>
      </c>
      <c r="AH38" s="67" t="s">
        <v>72</v>
      </c>
      <c r="AJ38" s="105">
        <v>66700</v>
      </c>
      <c r="AK38" s="99" t="s">
        <v>56</v>
      </c>
      <c r="AL38" s="104">
        <v>3772</v>
      </c>
      <c r="AM38" s="113">
        <f t="shared" si="23"/>
        <v>314.33333333333331</v>
      </c>
      <c r="AN38" s="101">
        <f t="shared" si="24"/>
        <v>2.3253530549575429E-3</v>
      </c>
      <c r="AO38" s="99" t="s">
        <v>72</v>
      </c>
    </row>
    <row r="39" spans="1:41" x14ac:dyDescent="0.2">
      <c r="A39" s="31"/>
      <c r="B39" s="31"/>
      <c r="C39" s="31"/>
      <c r="D39" s="31"/>
      <c r="E39" s="31"/>
      <c r="F39" s="31"/>
      <c r="H39" s="50">
        <v>67100</v>
      </c>
      <c r="I39" s="47" t="s">
        <v>57</v>
      </c>
      <c r="J39" s="49">
        <v>9150.2800000000007</v>
      </c>
      <c r="K39" s="58">
        <f t="shared" si="0"/>
        <v>762.52333333333343</v>
      </c>
      <c r="L39" s="48">
        <f t="shared" si="18"/>
        <v>5.6409415566587781E-3</v>
      </c>
      <c r="M39" s="47" t="s">
        <v>61</v>
      </c>
      <c r="O39" s="62">
        <v>67100</v>
      </c>
      <c r="P39" s="62" t="s">
        <v>57</v>
      </c>
      <c r="Q39" s="63">
        <v>4500</v>
      </c>
      <c r="R39" s="66">
        <f t="shared" si="1"/>
        <v>750</v>
      </c>
      <c r="S39" s="62">
        <f t="shared" si="25"/>
        <v>4.1530690954503834E-3</v>
      </c>
      <c r="T39" s="62" t="s">
        <v>61</v>
      </c>
      <c r="V39" s="50">
        <v>67100</v>
      </c>
      <c r="W39" s="47" t="s">
        <v>57</v>
      </c>
      <c r="X39" s="49">
        <v>9150.2800000000007</v>
      </c>
      <c r="Y39" s="58">
        <f t="shared" si="19"/>
        <v>762.52333333333343</v>
      </c>
      <c r="Z39" s="48">
        <f t="shared" si="20"/>
        <v>5.6409415566587781E-3</v>
      </c>
      <c r="AA39" s="47" t="s">
        <v>61</v>
      </c>
      <c r="AC39" s="70">
        <v>67100</v>
      </c>
      <c r="AD39" s="67" t="s">
        <v>57</v>
      </c>
      <c r="AE39" s="69">
        <v>9150.2800000000007</v>
      </c>
      <c r="AF39" s="78">
        <f t="shared" si="21"/>
        <v>762.52333333333343</v>
      </c>
      <c r="AG39" s="68">
        <f t="shared" si="22"/>
        <v>5.6409415566587781E-3</v>
      </c>
      <c r="AH39" s="67" t="s">
        <v>61</v>
      </c>
      <c r="AJ39" s="105">
        <v>67100</v>
      </c>
      <c r="AK39" s="99" t="s">
        <v>57</v>
      </c>
      <c r="AL39" s="104">
        <v>9150.2800000000007</v>
      </c>
      <c r="AM39" s="113">
        <f t="shared" si="23"/>
        <v>762.52333333333343</v>
      </c>
      <c r="AN39" s="101">
        <f t="shared" si="24"/>
        <v>5.6409415566587781E-3</v>
      </c>
      <c r="AO39" s="99" t="s">
        <v>61</v>
      </c>
    </row>
    <row r="40" spans="1:41" x14ac:dyDescent="0.2">
      <c r="A40" s="31"/>
      <c r="B40" s="31"/>
      <c r="C40" s="31"/>
      <c r="D40" s="31"/>
      <c r="E40" s="31"/>
      <c r="F40" s="31"/>
      <c r="H40" s="50">
        <v>68100</v>
      </c>
      <c r="I40" s="47" t="s">
        <v>31</v>
      </c>
      <c r="J40" s="49">
        <v>13009.77</v>
      </c>
      <c r="K40" s="58">
        <f t="shared" si="0"/>
        <v>1084.1475</v>
      </c>
      <c r="L40" s="48">
        <f t="shared" si="18"/>
        <v>8.0202302263507417E-3</v>
      </c>
      <c r="M40" s="47" t="s">
        <v>63</v>
      </c>
      <c r="O40" s="62">
        <v>68100</v>
      </c>
      <c r="P40" s="62" t="s">
        <v>31</v>
      </c>
      <c r="Q40" s="63">
        <v>7195.48</v>
      </c>
      <c r="R40" s="66">
        <f t="shared" si="1"/>
        <v>1199.2466666666667</v>
      </c>
      <c r="S40" s="62">
        <f t="shared" si="25"/>
        <v>6.6407390255402944E-3</v>
      </c>
      <c r="T40" s="62" t="s">
        <v>63</v>
      </c>
      <c r="V40" s="50">
        <v>68100</v>
      </c>
      <c r="W40" s="47" t="s">
        <v>31</v>
      </c>
      <c r="X40" s="49">
        <v>13009.77</v>
      </c>
      <c r="Y40" s="58">
        <f t="shared" si="19"/>
        <v>1084.1475</v>
      </c>
      <c r="Z40" s="48">
        <f t="shared" si="20"/>
        <v>8.0202302263507417E-3</v>
      </c>
      <c r="AA40" s="47" t="s">
        <v>63</v>
      </c>
      <c r="AC40" s="70">
        <v>68100</v>
      </c>
      <c r="AD40" s="67" t="s">
        <v>31</v>
      </c>
      <c r="AE40" s="69">
        <v>13009.77</v>
      </c>
      <c r="AF40" s="78">
        <f t="shared" si="21"/>
        <v>1084.1475</v>
      </c>
      <c r="AG40" s="68">
        <f t="shared" si="22"/>
        <v>8.0202302263507417E-3</v>
      </c>
      <c r="AH40" s="67" t="s">
        <v>63</v>
      </c>
      <c r="AJ40" s="105">
        <v>68100</v>
      </c>
      <c r="AK40" s="99" t="s">
        <v>31</v>
      </c>
      <c r="AL40" s="104">
        <v>13009.77</v>
      </c>
      <c r="AM40" s="113">
        <f t="shared" si="23"/>
        <v>1084.1475</v>
      </c>
      <c r="AN40" s="101">
        <f t="shared" si="24"/>
        <v>8.0202302263507417E-3</v>
      </c>
      <c r="AO40" s="99" t="s">
        <v>63</v>
      </c>
    </row>
    <row r="41" spans="1:41" x14ac:dyDescent="0.2">
      <c r="A41" s="31"/>
      <c r="B41" s="31"/>
      <c r="C41" s="31"/>
      <c r="D41" s="31"/>
      <c r="E41" s="31"/>
      <c r="F41" s="31"/>
      <c r="H41" s="50">
        <v>68600</v>
      </c>
      <c r="I41" s="47" t="s">
        <v>32</v>
      </c>
      <c r="J41" s="49">
        <v>5660.15</v>
      </c>
      <c r="K41" s="58">
        <f t="shared" si="0"/>
        <v>471.67916666666662</v>
      </c>
      <c r="L41" s="48">
        <f t="shared" si="18"/>
        <v>3.4893550090185411E-3</v>
      </c>
      <c r="M41" s="47" t="s">
        <v>63</v>
      </c>
      <c r="O41" s="62">
        <v>68600</v>
      </c>
      <c r="P41" s="62" t="s">
        <v>32</v>
      </c>
      <c r="Q41" s="63">
        <v>3591.26</v>
      </c>
      <c r="R41" s="66">
        <f t="shared" si="1"/>
        <v>598.54333333333341</v>
      </c>
      <c r="S41" s="62">
        <f t="shared" si="25"/>
        <v>3.3143890932726991E-3</v>
      </c>
      <c r="T41" s="62" t="s">
        <v>63</v>
      </c>
      <c r="V41" s="50">
        <v>68600</v>
      </c>
      <c r="W41" s="47" t="s">
        <v>32</v>
      </c>
      <c r="X41" s="49">
        <v>5660.15</v>
      </c>
      <c r="Y41" s="58">
        <f t="shared" si="19"/>
        <v>471.67916666666662</v>
      </c>
      <c r="Z41" s="48">
        <f t="shared" si="20"/>
        <v>3.4893550090185411E-3</v>
      </c>
      <c r="AA41" s="47" t="s">
        <v>63</v>
      </c>
      <c r="AC41" s="70">
        <v>68600</v>
      </c>
      <c r="AD41" s="67" t="s">
        <v>32</v>
      </c>
      <c r="AE41" s="69">
        <v>5660.15</v>
      </c>
      <c r="AF41" s="78">
        <f t="shared" si="21"/>
        <v>471.67916666666662</v>
      </c>
      <c r="AG41" s="68">
        <f t="shared" si="22"/>
        <v>3.4893550090185411E-3</v>
      </c>
      <c r="AH41" s="67" t="s">
        <v>63</v>
      </c>
      <c r="AJ41" s="105">
        <v>68600</v>
      </c>
      <c r="AK41" s="99" t="s">
        <v>32</v>
      </c>
      <c r="AL41" s="104">
        <v>5660.15</v>
      </c>
      <c r="AM41" s="113">
        <f t="shared" si="23"/>
        <v>471.67916666666662</v>
      </c>
      <c r="AN41" s="101">
        <f t="shared" si="24"/>
        <v>3.4893550090185411E-3</v>
      </c>
      <c r="AO41" s="99" t="s">
        <v>63</v>
      </c>
    </row>
    <row r="42" spans="1:41" x14ac:dyDescent="0.2">
      <c r="A42" s="31"/>
      <c r="B42" s="31"/>
      <c r="C42" s="31"/>
      <c r="D42" s="31"/>
      <c r="E42" s="31"/>
      <c r="F42" s="31"/>
      <c r="H42" s="50"/>
      <c r="I42" s="47"/>
      <c r="J42" s="49"/>
      <c r="K42" s="58"/>
      <c r="L42" s="48"/>
      <c r="M42" s="47"/>
      <c r="O42" s="62"/>
      <c r="P42" s="62" t="s">
        <v>5</v>
      </c>
      <c r="Q42" s="63">
        <f>SUM(Q31:Q41,Q19:Q25)</f>
        <v>129803.66999999998</v>
      </c>
      <c r="R42" s="66">
        <f t="shared" si="1"/>
        <v>21633.944999999996</v>
      </c>
      <c r="S42" s="62">
        <f t="shared" si="25"/>
        <v>0.11979635785623111</v>
      </c>
      <c r="T42" s="62"/>
      <c r="V42" s="50"/>
      <c r="W42" s="47"/>
      <c r="X42" s="49"/>
      <c r="Y42" s="58"/>
      <c r="Z42" s="48"/>
      <c r="AA42" s="47"/>
      <c r="AC42" s="70"/>
      <c r="AD42" s="67"/>
      <c r="AE42" s="69"/>
      <c r="AF42" s="78"/>
      <c r="AG42" s="68"/>
      <c r="AH42" s="67"/>
      <c r="AJ42" s="105"/>
      <c r="AK42" s="99"/>
      <c r="AL42" s="104"/>
      <c r="AM42" s="113"/>
      <c r="AN42" s="101"/>
      <c r="AO42" s="99"/>
    </row>
    <row r="43" spans="1:41" ht="19.5" customHeight="1" x14ac:dyDescent="0.2">
      <c r="A43" s="31"/>
      <c r="B43" s="31"/>
      <c r="C43" s="31"/>
      <c r="D43" s="31"/>
      <c r="E43" s="31"/>
      <c r="F43" s="31"/>
      <c r="H43" s="50"/>
      <c r="I43" s="47" t="s">
        <v>5</v>
      </c>
      <c r="J43" s="49">
        <v>251717.99</v>
      </c>
      <c r="K43" s="58">
        <f t="shared" si="0"/>
        <v>20976.499166666665</v>
      </c>
      <c r="L43" s="48">
        <f t="shared" si="18"/>
        <v>0.15517847217239455</v>
      </c>
      <c r="M43" s="47"/>
      <c r="O43" s="62"/>
      <c r="P43" s="62" t="s">
        <v>6</v>
      </c>
      <c r="Q43" s="63">
        <f>Q42</f>
        <v>129803.66999999998</v>
      </c>
      <c r="R43" s="66">
        <f t="shared" si="1"/>
        <v>21633.944999999996</v>
      </c>
      <c r="S43" s="62">
        <f t="shared" si="25"/>
        <v>0.11979635785623111</v>
      </c>
      <c r="T43" s="62"/>
      <c r="V43" s="50"/>
      <c r="W43" s="47" t="s">
        <v>5</v>
      </c>
      <c r="X43" s="49">
        <f>SUM(X32:X42,X19:X26)</f>
        <v>252517.98999999996</v>
      </c>
      <c r="Y43" s="58">
        <f>X43/12</f>
        <v>21043.165833333329</v>
      </c>
      <c r="Z43" s="48">
        <f>Y43/$K$8</f>
        <v>0.15567165415647885</v>
      </c>
      <c r="AA43" s="47"/>
      <c r="AC43" s="70"/>
      <c r="AD43" s="67" t="s">
        <v>5</v>
      </c>
      <c r="AE43" s="69">
        <f>SUM(AE32:AE42,AE19:AE26)</f>
        <v>252517.98999999996</v>
      </c>
      <c r="AF43" s="78">
        <f>AE43/12</f>
        <v>21043.165833333329</v>
      </c>
      <c r="AG43" s="68">
        <f>AF43/$K$8</f>
        <v>0.15567165415647885</v>
      </c>
      <c r="AH43" s="67"/>
      <c r="AJ43" s="105"/>
      <c r="AK43" s="99" t="s">
        <v>5</v>
      </c>
      <c r="AL43" s="104">
        <f>SUM(AL32:AL42,AL19:AL26)</f>
        <v>251568.03999999995</v>
      </c>
      <c r="AM43" s="113">
        <f>AL43/12</f>
        <v>20964.00333333333</v>
      </c>
      <c r="AN43" s="101">
        <f>AM43/$K$8</f>
        <v>0.15508603137425275</v>
      </c>
      <c r="AO43" s="99"/>
    </row>
    <row r="44" spans="1:41" x14ac:dyDescent="0.2">
      <c r="A44" s="31"/>
      <c r="B44" s="31"/>
      <c r="C44" s="31"/>
      <c r="D44" s="31"/>
      <c r="E44" s="31"/>
      <c r="F44" s="31"/>
      <c r="H44" s="47"/>
      <c r="I44" s="51" t="s">
        <v>6</v>
      </c>
      <c r="J44" s="49">
        <v>56247.63</v>
      </c>
      <c r="K44" s="58">
        <f t="shared" si="0"/>
        <v>4687.3024999999998</v>
      </c>
      <c r="L44" s="48"/>
      <c r="M44" s="47"/>
      <c r="O44" s="62"/>
      <c r="P44" s="62" t="s">
        <v>3</v>
      </c>
      <c r="Q44" s="63"/>
      <c r="R44" s="66" t="str">
        <f t="shared" si="1"/>
        <v/>
      </c>
      <c r="S44" s="62"/>
      <c r="T44" s="62"/>
      <c r="V44" s="47"/>
      <c r="W44" s="51" t="s">
        <v>6</v>
      </c>
      <c r="X44" s="49">
        <f>X16-X43</f>
        <v>52747.63000000015</v>
      </c>
      <c r="Y44" s="58">
        <f>X44/12</f>
        <v>4395.6358333333455</v>
      </c>
      <c r="Z44" s="48"/>
      <c r="AA44" s="47"/>
      <c r="AC44" s="67"/>
      <c r="AD44" s="71" t="s">
        <v>6</v>
      </c>
      <c r="AE44" s="69">
        <f>AE16-AE43</f>
        <v>51786.770000000048</v>
      </c>
      <c r="AF44" s="78">
        <f>AE44/12</f>
        <v>4315.5641666666706</v>
      </c>
      <c r="AG44" s="68"/>
      <c r="AH44" s="67"/>
      <c r="AJ44" s="99"/>
      <c r="AK44" s="106" t="s">
        <v>6</v>
      </c>
      <c r="AL44" s="104">
        <f>AL16-AL43</f>
        <v>55277.579999999929</v>
      </c>
      <c r="AM44" s="113">
        <f>AL44/12</f>
        <v>4606.4649999999938</v>
      </c>
      <c r="AN44" s="101"/>
      <c r="AO44" s="99"/>
    </row>
    <row r="45" spans="1:41" x14ac:dyDescent="0.2">
      <c r="A45" s="31"/>
      <c r="B45" s="31"/>
      <c r="C45" s="31"/>
      <c r="D45" s="31"/>
      <c r="E45" s="31"/>
      <c r="F45" s="31"/>
      <c r="H45" s="47"/>
      <c r="I45" s="59" t="s">
        <v>3</v>
      </c>
      <c r="J45" s="49"/>
      <c r="K45" s="58"/>
      <c r="L45" s="48"/>
      <c r="M45" s="47"/>
      <c r="O45" s="62"/>
      <c r="P45" s="62" t="s">
        <v>40</v>
      </c>
      <c r="Q45" s="63"/>
      <c r="R45" s="66" t="str">
        <f t="shared" si="1"/>
        <v/>
      </c>
      <c r="S45" s="62"/>
      <c r="T45" s="62"/>
      <c r="V45" s="47"/>
      <c r="W45" s="59" t="s">
        <v>3</v>
      </c>
      <c r="X45" s="49"/>
      <c r="Y45" s="58"/>
      <c r="Z45" s="48"/>
      <c r="AA45" s="47"/>
      <c r="AC45" s="67"/>
      <c r="AD45" s="79" t="s">
        <v>3</v>
      </c>
      <c r="AE45" s="69"/>
      <c r="AF45" s="78"/>
      <c r="AG45" s="68"/>
      <c r="AH45" s="67"/>
      <c r="AJ45" s="99"/>
      <c r="AK45" s="114" t="s">
        <v>3</v>
      </c>
      <c r="AL45" s="104"/>
      <c r="AM45" s="113"/>
      <c r="AN45" s="101"/>
      <c r="AO45" s="99"/>
    </row>
    <row r="46" spans="1:41" x14ac:dyDescent="0.2">
      <c r="A46" s="31"/>
      <c r="B46" s="31"/>
      <c r="C46" s="31"/>
      <c r="D46" s="31"/>
      <c r="E46" s="31"/>
      <c r="F46" s="31"/>
      <c r="H46" s="47"/>
      <c r="I46" s="60" t="s">
        <v>40</v>
      </c>
      <c r="J46" s="49"/>
      <c r="K46" s="58"/>
      <c r="L46" s="48"/>
      <c r="M46" s="47"/>
      <c r="O46" s="62">
        <v>68000</v>
      </c>
      <c r="P46" s="62" t="s">
        <v>33</v>
      </c>
      <c r="Q46" s="64">
        <v>57375.02</v>
      </c>
      <c r="R46" s="66">
        <f t="shared" si="1"/>
        <v>9562.5033333333322</v>
      </c>
      <c r="S46" s="62">
        <f>R46/$R$8</f>
        <v>5.2951649425077255E-2</v>
      </c>
      <c r="T46" s="62" t="s">
        <v>60</v>
      </c>
      <c r="V46" s="47"/>
      <c r="W46" s="60" t="s">
        <v>40</v>
      </c>
      <c r="X46" s="49"/>
      <c r="Y46" s="58"/>
      <c r="Z46" s="48"/>
      <c r="AA46" s="47"/>
      <c r="AC46" s="67"/>
      <c r="AD46" s="80" t="s">
        <v>40</v>
      </c>
      <c r="AE46" s="69"/>
      <c r="AF46" s="78"/>
      <c r="AG46" s="68"/>
      <c r="AH46" s="67"/>
      <c r="AJ46" s="99"/>
      <c r="AK46" s="115" t="s">
        <v>40</v>
      </c>
      <c r="AL46" s="104"/>
      <c r="AM46" s="113"/>
      <c r="AN46" s="101"/>
      <c r="AO46" s="99"/>
    </row>
    <row r="47" spans="1:41" x14ac:dyDescent="0.2">
      <c r="A47" s="31"/>
      <c r="B47" s="31"/>
      <c r="C47" s="31"/>
      <c r="D47" s="31"/>
      <c r="E47" s="31"/>
      <c r="F47" s="31"/>
      <c r="H47" s="47" t="s">
        <v>34</v>
      </c>
      <c r="I47" s="61" t="s">
        <v>33</v>
      </c>
      <c r="J47" s="49">
        <v>104208.5</v>
      </c>
      <c r="K47" s="58">
        <f t="shared" si="0"/>
        <v>8684.0416666666661</v>
      </c>
      <c r="L47" s="48"/>
      <c r="M47" s="47" t="s">
        <v>60</v>
      </c>
      <c r="O47" s="62"/>
      <c r="P47" s="62" t="s">
        <v>41</v>
      </c>
      <c r="Q47" s="64">
        <f>Q46</f>
        <v>57375.02</v>
      </c>
      <c r="R47" s="66">
        <f t="shared" si="1"/>
        <v>9562.5033333333322</v>
      </c>
      <c r="S47" s="62">
        <f>R47/$R$8</f>
        <v>5.2951649425077255E-2</v>
      </c>
      <c r="T47" s="62"/>
      <c r="V47" s="47" t="s">
        <v>34</v>
      </c>
      <c r="W47" s="61" t="s">
        <v>33</v>
      </c>
      <c r="X47" s="49">
        <v>104208.5</v>
      </c>
      <c r="Y47" s="58">
        <f>X47/12</f>
        <v>8684.0416666666661</v>
      </c>
      <c r="Z47" s="48"/>
      <c r="AA47" s="47" t="s">
        <v>60</v>
      </c>
      <c r="AC47" s="67" t="s">
        <v>34</v>
      </c>
      <c r="AD47" s="81" t="s">
        <v>33</v>
      </c>
      <c r="AE47" s="69">
        <v>104208.5</v>
      </c>
      <c r="AF47" s="78">
        <f>AE47/12</f>
        <v>8684.0416666666661</v>
      </c>
      <c r="AG47" s="68"/>
      <c r="AH47" s="67" t="s">
        <v>60</v>
      </c>
      <c r="AJ47" s="99" t="s">
        <v>34</v>
      </c>
      <c r="AK47" s="116" t="s">
        <v>33</v>
      </c>
      <c r="AL47" s="104">
        <v>104208.5</v>
      </c>
      <c r="AM47" s="113">
        <f>AL47/12</f>
        <v>8684.0416666666661</v>
      </c>
      <c r="AN47" s="101"/>
      <c r="AO47" s="99" t="s">
        <v>60</v>
      </c>
    </row>
    <row r="48" spans="1:41" ht="18.75" customHeight="1" x14ac:dyDescent="0.2">
      <c r="A48" s="31"/>
      <c r="B48" s="31"/>
      <c r="C48" s="31"/>
      <c r="D48" s="31"/>
      <c r="E48" s="31"/>
      <c r="F48" s="31"/>
      <c r="H48" s="47"/>
      <c r="I48" s="60" t="s">
        <v>41</v>
      </c>
      <c r="J48" s="49">
        <v>104208.5</v>
      </c>
      <c r="K48" s="58">
        <f t="shared" si="0"/>
        <v>8684.0416666666661</v>
      </c>
      <c r="L48" s="48"/>
      <c r="M48" s="47"/>
      <c r="O48" s="62"/>
      <c r="P48" s="62" t="s">
        <v>42</v>
      </c>
      <c r="Q48" s="64">
        <v>-57375.02</v>
      </c>
      <c r="R48" s="66">
        <f t="shared" si="1"/>
        <v>-9562.5033333333322</v>
      </c>
      <c r="S48" s="62">
        <f>R48/$R$8</f>
        <v>-5.2951649425077255E-2</v>
      </c>
      <c r="T48" s="62"/>
      <c r="V48" s="47"/>
      <c r="W48" s="60" t="s">
        <v>41</v>
      </c>
      <c r="X48" s="49">
        <f>X47</f>
        <v>104208.5</v>
      </c>
      <c r="Y48" s="58">
        <f>X48/12</f>
        <v>8684.0416666666661</v>
      </c>
      <c r="Z48" s="48"/>
      <c r="AA48" s="47"/>
      <c r="AC48" s="67"/>
      <c r="AD48" s="80" t="s">
        <v>41</v>
      </c>
      <c r="AE48" s="69">
        <f>AE47</f>
        <v>104208.5</v>
      </c>
      <c r="AF48" s="78">
        <f>AE48/12</f>
        <v>8684.0416666666661</v>
      </c>
      <c r="AG48" s="68"/>
      <c r="AH48" s="67"/>
      <c r="AJ48" s="99"/>
      <c r="AK48" s="115" t="s">
        <v>41</v>
      </c>
      <c r="AL48" s="104">
        <f>AL47</f>
        <v>104208.5</v>
      </c>
      <c r="AM48" s="113">
        <f>AL48/12</f>
        <v>8684.0416666666661</v>
      </c>
      <c r="AN48" s="101"/>
      <c r="AO48" s="99"/>
    </row>
    <row r="49" spans="1:41" ht="17.25" customHeight="1" x14ac:dyDescent="0.2">
      <c r="A49" s="31"/>
      <c r="B49" s="31"/>
      <c r="C49" s="31"/>
      <c r="D49" s="31"/>
      <c r="E49" s="31"/>
      <c r="F49" s="31"/>
      <c r="H49" s="47"/>
      <c r="I49" s="59" t="s">
        <v>42</v>
      </c>
      <c r="J49" s="49">
        <v>-104208.5</v>
      </c>
      <c r="K49" s="58">
        <f t="shared" si="0"/>
        <v>-8684.0416666666661</v>
      </c>
      <c r="L49" s="48"/>
      <c r="M49" s="47"/>
      <c r="O49" s="62"/>
      <c r="P49" s="62" t="s">
        <v>43</v>
      </c>
      <c r="Q49" s="63">
        <f>Q43-Q47</f>
        <v>72428.649999999994</v>
      </c>
      <c r="R49" s="66">
        <f t="shared" si="1"/>
        <v>12071.441666666666</v>
      </c>
      <c r="S49" s="62">
        <f>R49/$R$8</f>
        <v>6.6844708431153865E-2</v>
      </c>
      <c r="T49" s="62"/>
      <c r="V49" s="47"/>
      <c r="W49" s="59" t="s">
        <v>42</v>
      </c>
      <c r="X49" s="49">
        <v>-104208.5</v>
      </c>
      <c r="Y49" s="58">
        <f>X49/12</f>
        <v>-8684.0416666666661</v>
      </c>
      <c r="Z49" s="48"/>
      <c r="AA49" s="47"/>
      <c r="AC49" s="67"/>
      <c r="AD49" s="79" t="s">
        <v>42</v>
      </c>
      <c r="AE49" s="69">
        <v>-104208.5</v>
      </c>
      <c r="AF49" s="78">
        <f>AE49/12</f>
        <v>-8684.0416666666661</v>
      </c>
      <c r="AG49" s="68"/>
      <c r="AH49" s="67"/>
      <c r="AJ49" s="99"/>
      <c r="AK49" s="114" t="s">
        <v>42</v>
      </c>
      <c r="AL49" s="104">
        <v>-104208.5</v>
      </c>
      <c r="AM49" s="113">
        <f>AL49/12</f>
        <v>-8684.0416666666661</v>
      </c>
      <c r="AN49" s="101"/>
      <c r="AO49" s="99"/>
    </row>
    <row r="50" spans="1:41" x14ac:dyDescent="0.2">
      <c r="A50" s="31"/>
      <c r="B50" s="31"/>
      <c r="C50" s="31"/>
      <c r="D50" s="31"/>
      <c r="E50" s="31"/>
      <c r="F50" s="31"/>
      <c r="H50" s="47"/>
      <c r="I50" s="47" t="s">
        <v>43</v>
      </c>
      <c r="J50" s="49">
        <v>-47960.87</v>
      </c>
      <c r="K50" s="58">
        <f t="shared" si="0"/>
        <v>-3996.7391666666667</v>
      </c>
      <c r="L50" s="48"/>
      <c r="M50" s="47"/>
      <c r="O50" s="62"/>
      <c r="P50" s="62"/>
      <c r="Q50" s="63"/>
      <c r="R50" s="62"/>
      <c r="S50" s="62"/>
      <c r="T50" s="62"/>
      <c r="V50" s="47"/>
      <c r="W50" s="47" t="s">
        <v>43</v>
      </c>
      <c r="X50" s="49">
        <f>X44-X48</f>
        <v>-51460.86999999985</v>
      </c>
      <c r="Y50" s="58">
        <f>X50/12</f>
        <v>-4288.4058333333205</v>
      </c>
      <c r="Z50" s="48"/>
      <c r="AA50" s="47"/>
      <c r="AC50" s="67"/>
      <c r="AD50" s="67" t="s">
        <v>43</v>
      </c>
      <c r="AE50" s="69">
        <f>AE44-AE48</f>
        <v>-52421.729999999952</v>
      </c>
      <c r="AF50" s="78">
        <f>AE50/12</f>
        <v>-4368.4774999999963</v>
      </c>
      <c r="AG50" s="68"/>
      <c r="AH50" s="67"/>
      <c r="AJ50" s="99"/>
      <c r="AK50" s="99" t="s">
        <v>43</v>
      </c>
      <c r="AL50" s="104">
        <f>AL44-AL48</f>
        <v>-48930.920000000071</v>
      </c>
      <c r="AM50" s="113">
        <f>AL50/12</f>
        <v>-4077.5766666666727</v>
      </c>
      <c r="AN50" s="101"/>
      <c r="AO50" s="99"/>
    </row>
    <row r="51" spans="1:41" x14ac:dyDescent="0.2">
      <c r="A51" s="31"/>
      <c r="B51" s="31"/>
      <c r="C51" s="31"/>
      <c r="D51" s="31"/>
      <c r="E51" s="31"/>
      <c r="F51" s="31"/>
      <c r="H51" s="47"/>
      <c r="I51" s="47"/>
      <c r="J51" s="49"/>
      <c r="K51" s="47"/>
      <c r="L51" s="48"/>
      <c r="M51" s="47"/>
      <c r="O51" s="62"/>
      <c r="P51" s="62"/>
      <c r="Q51" s="63"/>
      <c r="R51" s="62"/>
      <c r="S51" s="62"/>
      <c r="T51" s="62"/>
      <c r="V51" s="47"/>
      <c r="W51" s="47"/>
      <c r="X51" s="49"/>
      <c r="Y51" s="47"/>
      <c r="Z51" s="48"/>
      <c r="AA51" s="47"/>
      <c r="AC51" s="67"/>
      <c r="AD51" s="67"/>
      <c r="AE51" s="69"/>
      <c r="AF51" s="67"/>
      <c r="AG51" s="68"/>
      <c r="AH51" s="67"/>
      <c r="AJ51" s="99"/>
      <c r="AK51" s="99"/>
      <c r="AL51" s="104"/>
      <c r="AM51" s="99"/>
      <c r="AN51" s="101"/>
      <c r="AO51" s="99"/>
    </row>
    <row r="52" spans="1:41" x14ac:dyDescent="0.2">
      <c r="A52" s="31"/>
      <c r="B52" s="31"/>
      <c r="C52" s="31"/>
      <c r="D52" s="31"/>
      <c r="E52" s="31"/>
      <c r="F52" s="31"/>
      <c r="H52" s="47"/>
      <c r="I52" s="47"/>
      <c r="J52" s="49"/>
      <c r="K52" s="47"/>
      <c r="L52" s="48"/>
      <c r="M52" s="47"/>
      <c r="O52" s="62"/>
      <c r="P52" s="62"/>
      <c r="Q52" s="63"/>
      <c r="R52" s="62"/>
      <c r="S52" s="62"/>
      <c r="T52" s="62"/>
      <c r="V52" s="47"/>
      <c r="W52" s="47"/>
      <c r="X52" s="49"/>
      <c r="Y52" s="47"/>
      <c r="Z52" s="48"/>
      <c r="AA52" s="47"/>
      <c r="AC52" s="67"/>
      <c r="AD52" s="67"/>
      <c r="AE52" s="69"/>
      <c r="AF52" s="67"/>
      <c r="AG52" s="68"/>
      <c r="AH52" s="67"/>
      <c r="AJ52" s="99"/>
      <c r="AK52" s="99"/>
      <c r="AL52" s="104"/>
      <c r="AM52" s="99"/>
      <c r="AN52" s="101"/>
      <c r="AO52" s="99"/>
    </row>
    <row r="54" spans="1:41" x14ac:dyDescent="0.2">
      <c r="S54" s="2"/>
    </row>
    <row r="55" spans="1:41" x14ac:dyDescent="0.2">
      <c r="S55" s="2"/>
    </row>
    <row r="56" spans="1:41" x14ac:dyDescent="0.2">
      <c r="P56" s="1"/>
      <c r="S56" s="2"/>
    </row>
    <row r="57" spans="1:41" x14ac:dyDescent="0.2">
      <c r="P57" s="2"/>
      <c r="S57" s="2"/>
    </row>
    <row r="58" spans="1:41" x14ac:dyDescent="0.2">
      <c r="P58" s="2"/>
      <c r="S58" s="2"/>
    </row>
    <row r="59" spans="1:41" x14ac:dyDescent="0.2">
      <c r="P59" s="2"/>
      <c r="S59" s="2"/>
    </row>
    <row r="60" spans="1:41" x14ac:dyDescent="0.2">
      <c r="P60" s="2"/>
      <c r="S60" s="2"/>
    </row>
    <row r="61" spans="1:41" x14ac:dyDescent="0.2">
      <c r="P61" s="2"/>
      <c r="S61" s="2"/>
    </row>
    <row r="62" spans="1:41" x14ac:dyDescent="0.2">
      <c r="P62" s="2"/>
      <c r="S62" s="2"/>
    </row>
    <row r="63" spans="1:41" x14ac:dyDescent="0.2">
      <c r="P63" s="2"/>
      <c r="S63" s="2"/>
    </row>
    <row r="64" spans="1:41" x14ac:dyDescent="0.2">
      <c r="P64" s="2"/>
      <c r="S64" s="2"/>
    </row>
    <row r="65" spans="16:19" x14ac:dyDescent="0.2">
      <c r="P65" s="2"/>
      <c r="S65" s="2"/>
    </row>
    <row r="66" spans="16:19" x14ac:dyDescent="0.2">
      <c r="P66" s="2"/>
      <c r="S66" s="2"/>
    </row>
    <row r="67" spans="16:19" x14ac:dyDescent="0.2">
      <c r="S67" s="2"/>
    </row>
    <row r="68" spans="16:19" x14ac:dyDescent="0.2">
      <c r="S68" s="2"/>
    </row>
    <row r="69" spans="16:19" x14ac:dyDescent="0.2">
      <c r="S69" s="2"/>
    </row>
  </sheetData>
  <mergeCells count="18">
    <mergeCell ref="AK1:AL1"/>
    <mergeCell ref="AK2:AL2"/>
    <mergeCell ref="AJ3:AM3"/>
    <mergeCell ref="AD1:AE1"/>
    <mergeCell ref="AD2:AE2"/>
    <mergeCell ref="B1:C1"/>
    <mergeCell ref="B2:C2"/>
    <mergeCell ref="B3:C3"/>
    <mergeCell ref="I1:J1"/>
    <mergeCell ref="I2:J2"/>
    <mergeCell ref="I3:J3"/>
    <mergeCell ref="W1:X1"/>
    <mergeCell ref="W2:X2"/>
    <mergeCell ref="W3:X3"/>
    <mergeCell ref="P1:Q1"/>
    <mergeCell ref="P2:Q2"/>
    <mergeCell ref="P3:Q3"/>
    <mergeCell ref="AC3:AF3"/>
  </mergeCells>
  <dataValidations count="1">
    <dataValidation type="list" allowBlank="1" showInputMessage="1" showErrorMessage="1" sqref="F8:F52 M7:M52 T7:T52 AA7:AA52 AH7:AH52 AO7:AO52" xr:uid="{518B2707-AA9D-41B4-8EC6-C573A0B39F35}">
      <formula1>INDIRECT("CategoryTable[Categories]")</formula1>
    </dataValidation>
  </dataValidations>
  <pageMargins left="0.7" right="0.7" top="0.75" bottom="0.75" header="0.3" footer="0.3"/>
  <ignoredErrors>
    <ignoredError sqref="C30" formulaRang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2B2F77-EA31-4435-B87A-601A8631FDD7}">
  <sheetPr codeName="Sheet1"/>
  <dimension ref="C3:H70"/>
  <sheetViews>
    <sheetView workbookViewId="0">
      <selection activeCell="Q15" sqref="Q15"/>
    </sheetView>
  </sheetViews>
  <sheetFormatPr defaultRowHeight="12.75" x14ac:dyDescent="0.2"/>
  <cols>
    <col min="1" max="2" width="9.33203125" style="3"/>
    <col min="3" max="3" width="29.5" style="3" bestFit="1" customWidth="1"/>
    <col min="4" max="4" width="13.33203125" style="2" bestFit="1" customWidth="1"/>
    <col min="5" max="5" width="12" style="2" bestFit="1" customWidth="1"/>
    <col min="6" max="7" width="13" style="2" bestFit="1" customWidth="1"/>
    <col min="8" max="16384" width="9.33203125" style="3"/>
  </cols>
  <sheetData>
    <row r="3" spans="3:8" x14ac:dyDescent="0.2">
      <c r="C3" s="3" t="s">
        <v>154</v>
      </c>
      <c r="D3" s="13">
        <v>13039.684999999999</v>
      </c>
    </row>
    <row r="6" spans="3:8" x14ac:dyDescent="0.2">
      <c r="C6" s="12" t="s">
        <v>116</v>
      </c>
      <c r="D6" s="15" t="s">
        <v>117</v>
      </c>
      <c r="E6" s="15" t="s">
        <v>119</v>
      </c>
      <c r="F6" s="15" t="s">
        <v>121</v>
      </c>
      <c r="G6" s="15" t="s">
        <v>121</v>
      </c>
    </row>
    <row r="7" spans="3:8" x14ac:dyDescent="0.2">
      <c r="C7" s="12"/>
      <c r="D7" s="15" t="s">
        <v>118</v>
      </c>
      <c r="E7" s="15" t="s">
        <v>120</v>
      </c>
      <c r="F7" s="15" t="s">
        <v>118</v>
      </c>
      <c r="G7" s="15" t="s">
        <v>122</v>
      </c>
    </row>
    <row r="8" spans="3:8" x14ac:dyDescent="0.2">
      <c r="C8" s="12" t="s">
        <v>108</v>
      </c>
      <c r="D8" s="15">
        <f>SUM(D9:D14)</f>
        <v>1700</v>
      </c>
      <c r="E8" s="15">
        <f>SUM(E9:E14)</f>
        <v>1411</v>
      </c>
      <c r="F8" s="15">
        <v>1411</v>
      </c>
      <c r="G8" s="15"/>
    </row>
    <row r="9" spans="3:8" x14ac:dyDescent="0.2">
      <c r="C9" s="12" t="s">
        <v>109</v>
      </c>
      <c r="D9" s="15">
        <v>1700</v>
      </c>
      <c r="E9" s="15">
        <v>820</v>
      </c>
      <c r="F9" s="15"/>
      <c r="G9" s="15"/>
      <c r="H9" s="2"/>
    </row>
    <row r="10" spans="3:8" x14ac:dyDescent="0.2">
      <c r="C10" s="12" t="s">
        <v>110</v>
      </c>
      <c r="D10" s="15"/>
      <c r="E10" s="15">
        <v>75</v>
      </c>
      <c r="F10" s="15"/>
      <c r="G10" s="15"/>
      <c r="H10" s="2"/>
    </row>
    <row r="11" spans="3:8" x14ac:dyDescent="0.2">
      <c r="C11" s="12" t="s">
        <v>111</v>
      </c>
      <c r="D11" s="15"/>
      <c r="E11" s="15">
        <v>157</v>
      </c>
      <c r="F11" s="15"/>
      <c r="G11" s="15"/>
      <c r="H11" s="2"/>
    </row>
    <row r="12" spans="3:8" x14ac:dyDescent="0.2">
      <c r="C12" s="12" t="s">
        <v>112</v>
      </c>
      <c r="D12" s="15"/>
      <c r="E12" s="15">
        <v>80</v>
      </c>
      <c r="F12" s="15"/>
      <c r="G12" s="15"/>
      <c r="H12" s="2"/>
    </row>
    <row r="13" spans="3:8" x14ac:dyDescent="0.2">
      <c r="C13" s="12" t="s">
        <v>113</v>
      </c>
      <c r="D13" s="15"/>
      <c r="E13" s="15"/>
      <c r="F13" s="15"/>
      <c r="G13" s="15"/>
      <c r="H13" s="2"/>
    </row>
    <row r="14" spans="3:8" x14ac:dyDescent="0.2">
      <c r="C14" s="12" t="s">
        <v>114</v>
      </c>
      <c r="D14" s="15"/>
      <c r="E14" s="15">
        <v>279</v>
      </c>
      <c r="F14" s="15"/>
      <c r="G14" s="15"/>
      <c r="H14" s="2"/>
    </row>
    <row r="15" spans="3:8" x14ac:dyDescent="0.2">
      <c r="C15" s="12"/>
      <c r="D15" s="15"/>
      <c r="E15" s="15"/>
      <c r="F15" s="15"/>
      <c r="G15" s="15"/>
      <c r="H15" s="2"/>
    </row>
    <row r="16" spans="3:8" x14ac:dyDescent="0.2">
      <c r="C16" s="12" t="s">
        <v>115</v>
      </c>
      <c r="D16" s="15">
        <f>SUM(D17:D22)</f>
        <v>1091</v>
      </c>
      <c r="E16" s="15">
        <v>1886</v>
      </c>
      <c r="F16" s="15">
        <v>1091</v>
      </c>
      <c r="G16" s="15"/>
      <c r="H16" s="2"/>
    </row>
    <row r="17" spans="3:8" x14ac:dyDescent="0.2">
      <c r="C17" s="3" t="s">
        <v>123</v>
      </c>
      <c r="D17" s="2">
        <v>0</v>
      </c>
      <c r="H17" s="2"/>
    </row>
    <row r="18" spans="3:8" x14ac:dyDescent="0.2">
      <c r="C18" s="2" t="s">
        <v>61</v>
      </c>
      <c r="H18" s="2"/>
    </row>
    <row r="19" spans="3:8" x14ac:dyDescent="0.2">
      <c r="C19" s="2" t="s">
        <v>124</v>
      </c>
      <c r="D19" s="2">
        <v>650</v>
      </c>
      <c r="H19" s="2"/>
    </row>
    <row r="20" spans="3:8" x14ac:dyDescent="0.2">
      <c r="C20" s="2" t="s">
        <v>127</v>
      </c>
      <c r="D20" s="2">
        <v>190</v>
      </c>
      <c r="H20" s="2"/>
    </row>
    <row r="21" spans="3:8" x14ac:dyDescent="0.2">
      <c r="C21" s="2" t="s">
        <v>125</v>
      </c>
      <c r="H21" s="2"/>
    </row>
    <row r="22" spans="3:8" x14ac:dyDescent="0.2">
      <c r="C22" s="2" t="s">
        <v>126</v>
      </c>
      <c r="D22" s="2">
        <v>251</v>
      </c>
      <c r="H22" s="2"/>
    </row>
    <row r="23" spans="3:8" x14ac:dyDescent="0.2">
      <c r="H23" s="2"/>
    </row>
    <row r="24" spans="3:8" x14ac:dyDescent="0.2">
      <c r="H24" s="2"/>
    </row>
    <row r="25" spans="3:8" x14ac:dyDescent="0.2">
      <c r="C25" s="3" t="s">
        <v>128</v>
      </c>
      <c r="D25" s="2">
        <v>884</v>
      </c>
      <c r="E25" s="2">
        <v>619</v>
      </c>
      <c r="F25" s="2">
        <v>619</v>
      </c>
      <c r="H25" s="2"/>
    </row>
    <row r="26" spans="3:8" x14ac:dyDescent="0.2">
      <c r="C26" s="2" t="s">
        <v>129</v>
      </c>
      <c r="E26" s="2">
        <v>619</v>
      </c>
    </row>
    <row r="27" spans="3:8" x14ac:dyDescent="0.2">
      <c r="C27" s="2" t="s">
        <v>130</v>
      </c>
      <c r="D27" s="2">
        <v>500</v>
      </c>
      <c r="E27" s="2">
        <v>478</v>
      </c>
      <c r="F27" s="2">
        <v>478</v>
      </c>
    </row>
    <row r="28" spans="3:8" x14ac:dyDescent="0.2">
      <c r="C28" s="2" t="s">
        <v>131</v>
      </c>
      <c r="D28" s="2">
        <v>3600</v>
      </c>
      <c r="F28" s="2">
        <v>3600</v>
      </c>
    </row>
    <row r="29" spans="3:8" x14ac:dyDescent="0.2">
      <c r="C29" s="2" t="s">
        <v>132</v>
      </c>
      <c r="D29" s="2">
        <v>500</v>
      </c>
      <c r="E29" s="2">
        <v>241</v>
      </c>
      <c r="F29" s="2">
        <v>500</v>
      </c>
    </row>
    <row r="30" spans="3:8" x14ac:dyDescent="0.2">
      <c r="C30" s="2" t="s">
        <v>133</v>
      </c>
    </row>
    <row r="31" spans="3:8" x14ac:dyDescent="0.2">
      <c r="C31" s="2" t="s">
        <v>134</v>
      </c>
      <c r="D31" s="2">
        <v>200</v>
      </c>
      <c r="F31" s="2">
        <v>200</v>
      </c>
    </row>
    <row r="32" spans="3:8" x14ac:dyDescent="0.2">
      <c r="C32" s="2" t="s">
        <v>135</v>
      </c>
    </row>
    <row r="33" spans="3:6" x14ac:dyDescent="0.2">
      <c r="C33" s="2" t="s">
        <v>136</v>
      </c>
    </row>
    <row r="34" spans="3:6" x14ac:dyDescent="0.2">
      <c r="C34" s="2" t="s">
        <v>137</v>
      </c>
      <c r="D34" s="2">
        <v>250</v>
      </c>
      <c r="F34" s="2">
        <v>250</v>
      </c>
    </row>
    <row r="35" spans="3:6" x14ac:dyDescent="0.2">
      <c r="C35" s="2" t="s">
        <v>138</v>
      </c>
      <c r="D35" s="2">
        <v>929</v>
      </c>
      <c r="F35" s="2">
        <v>929</v>
      </c>
    </row>
    <row r="36" spans="3:6" x14ac:dyDescent="0.2">
      <c r="C36" s="2" t="s">
        <v>139</v>
      </c>
      <c r="D36" s="2">
        <v>765</v>
      </c>
      <c r="F36" s="2">
        <v>765</v>
      </c>
    </row>
    <row r="37" spans="3:6" x14ac:dyDescent="0.2">
      <c r="C37" s="2" t="s">
        <v>140</v>
      </c>
    </row>
    <row r="38" spans="3:6" x14ac:dyDescent="0.2">
      <c r="C38" s="2" t="s">
        <v>141</v>
      </c>
    </row>
    <row r="39" spans="3:6" x14ac:dyDescent="0.2">
      <c r="C39" s="2" t="s">
        <v>142</v>
      </c>
    </row>
    <row r="40" spans="3:6" x14ac:dyDescent="0.2">
      <c r="C40" s="2" t="s">
        <v>143</v>
      </c>
    </row>
    <row r="41" spans="3:6" x14ac:dyDescent="0.2">
      <c r="C41" s="2" t="s">
        <v>144</v>
      </c>
    </row>
    <row r="42" spans="3:6" x14ac:dyDescent="0.2">
      <c r="C42" s="2" t="s">
        <v>145</v>
      </c>
    </row>
    <row r="43" spans="3:6" x14ac:dyDescent="0.2">
      <c r="C43" s="2" t="s">
        <v>146</v>
      </c>
    </row>
    <row r="44" spans="3:6" x14ac:dyDescent="0.2">
      <c r="C44" s="2" t="s">
        <v>147</v>
      </c>
      <c r="D44" s="2">
        <v>200</v>
      </c>
      <c r="F44" s="2">
        <v>200</v>
      </c>
    </row>
    <row r="45" spans="3:6" x14ac:dyDescent="0.2">
      <c r="C45" s="2" t="s">
        <v>148</v>
      </c>
      <c r="D45" s="2">
        <v>125</v>
      </c>
      <c r="F45" s="2">
        <v>125</v>
      </c>
    </row>
    <row r="46" spans="3:6" x14ac:dyDescent="0.2">
      <c r="C46" s="2" t="s">
        <v>149</v>
      </c>
    </row>
    <row r="47" spans="3:6" x14ac:dyDescent="0.2">
      <c r="C47" s="2" t="s">
        <v>150</v>
      </c>
    </row>
    <row r="48" spans="3:6" x14ac:dyDescent="0.2">
      <c r="C48" s="2" t="s">
        <v>151</v>
      </c>
    </row>
    <row r="49" spans="3:8" x14ac:dyDescent="0.2">
      <c r="C49" s="2" t="s">
        <v>152</v>
      </c>
    </row>
    <row r="50" spans="3:8" x14ac:dyDescent="0.2">
      <c r="C50" s="2"/>
    </row>
    <row r="51" spans="3:8" x14ac:dyDescent="0.2">
      <c r="C51" s="3" t="s">
        <v>153</v>
      </c>
      <c r="D51" s="2">
        <f>SUM(D25:D50,D16,D8)</f>
        <v>10744</v>
      </c>
      <c r="E51" s="2">
        <f>SUM(E25:E50,E16,E8)</f>
        <v>5254</v>
      </c>
      <c r="F51" s="2">
        <f>SUM(F25:F50,F16,F8)</f>
        <v>10168</v>
      </c>
      <c r="H51" s="2"/>
    </row>
    <row r="52" spans="3:8" x14ac:dyDescent="0.2">
      <c r="C52" s="3" t="s">
        <v>77</v>
      </c>
      <c r="D52" s="2">
        <f>$D$3-D51</f>
        <v>2295.6849999999995</v>
      </c>
      <c r="F52" s="2">
        <f>$D$3-F51</f>
        <v>2871.6849999999995</v>
      </c>
      <c r="H52" s="2"/>
    </row>
    <row r="53" spans="3:8" x14ac:dyDescent="0.2">
      <c r="H53" s="2"/>
    </row>
    <row r="54" spans="3:8" x14ac:dyDescent="0.2">
      <c r="H54" s="2"/>
    </row>
    <row r="55" spans="3:8" x14ac:dyDescent="0.2">
      <c r="H55" s="2"/>
    </row>
    <row r="56" spans="3:8" x14ac:dyDescent="0.2">
      <c r="H56" s="2"/>
    </row>
    <row r="57" spans="3:8" x14ac:dyDescent="0.2">
      <c r="H57" s="2"/>
    </row>
    <row r="58" spans="3:8" x14ac:dyDescent="0.2">
      <c r="H58" s="2"/>
    </row>
    <row r="59" spans="3:8" x14ac:dyDescent="0.2">
      <c r="H59" s="2"/>
    </row>
    <row r="60" spans="3:8" x14ac:dyDescent="0.2">
      <c r="H60" s="2"/>
    </row>
    <row r="61" spans="3:8" x14ac:dyDescent="0.2">
      <c r="H61" s="2"/>
    </row>
    <row r="62" spans="3:8" x14ac:dyDescent="0.2">
      <c r="H62" s="2"/>
    </row>
    <row r="63" spans="3:8" x14ac:dyDescent="0.2">
      <c r="H63" s="2"/>
    </row>
    <row r="64" spans="3:8" x14ac:dyDescent="0.2">
      <c r="H64" s="2"/>
    </row>
    <row r="65" spans="8:8" x14ac:dyDescent="0.2">
      <c r="H65" s="2"/>
    </row>
    <row r="66" spans="8:8" x14ac:dyDescent="0.2">
      <c r="H66" s="2"/>
    </row>
    <row r="67" spans="8:8" x14ac:dyDescent="0.2">
      <c r="H67" s="2"/>
    </row>
    <row r="68" spans="8:8" x14ac:dyDescent="0.2">
      <c r="H68" s="2"/>
    </row>
    <row r="69" spans="8:8" x14ac:dyDescent="0.2">
      <c r="H69" s="2"/>
    </row>
    <row r="70" spans="8:8" x14ac:dyDescent="0.2">
      <c r="H70" s="2"/>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E14EB6-8011-4C67-BCA0-988CA5EC79A3}">
  <dimension ref="B1:P31"/>
  <sheetViews>
    <sheetView tabSelected="1" workbookViewId="0">
      <selection activeCell="L34" sqref="L34"/>
    </sheetView>
  </sheetViews>
  <sheetFormatPr defaultRowHeight="12.75" x14ac:dyDescent="0.2"/>
  <cols>
    <col min="1" max="1" width="9.33203125" style="3"/>
    <col min="2" max="2" width="29" style="3" bestFit="1" customWidth="1"/>
    <col min="3" max="3" width="19.1640625" style="2" customWidth="1"/>
    <col min="4" max="4" width="9.33203125" style="3"/>
    <col min="5" max="5" width="29" style="3" bestFit="1" customWidth="1"/>
    <col min="6" max="6" width="19.1640625" style="2" customWidth="1"/>
    <col min="7" max="7" width="9.33203125" style="3"/>
    <col min="8" max="8" width="29" style="3" bestFit="1" customWidth="1"/>
    <col min="9" max="9" width="19.1640625" style="2" customWidth="1"/>
    <col min="10" max="10" width="13.33203125" style="3" bestFit="1" customWidth="1"/>
    <col min="11" max="11" width="9.33203125" style="3"/>
    <col min="12" max="12" width="29" style="3" bestFit="1" customWidth="1"/>
    <col min="13" max="13" width="19.1640625" style="2" customWidth="1"/>
    <col min="14" max="14" width="13.33203125" style="3" bestFit="1" customWidth="1"/>
    <col min="15" max="16" width="14.5" style="3" bestFit="1" customWidth="1"/>
    <col min="17" max="16384" width="9.33203125" style="3"/>
  </cols>
  <sheetData>
    <row r="1" spans="2:16" ht="12.75" customHeight="1" x14ac:dyDescent="0.2">
      <c r="B1" s="95" t="s">
        <v>178</v>
      </c>
      <c r="C1" s="95"/>
      <c r="E1" s="1" t="s">
        <v>179</v>
      </c>
      <c r="H1" s="1" t="s">
        <v>185</v>
      </c>
      <c r="J1" s="98" t="s">
        <v>187</v>
      </c>
      <c r="L1" s="1" t="s">
        <v>185</v>
      </c>
      <c r="N1" s="98" t="s">
        <v>187</v>
      </c>
    </row>
    <row r="2" spans="2:16" x14ac:dyDescent="0.2">
      <c r="J2" s="98"/>
      <c r="N2" s="98"/>
    </row>
    <row r="3" spans="2:16" x14ac:dyDescent="0.2">
      <c r="B3" s="3" t="s">
        <v>58</v>
      </c>
      <c r="C3" s="2">
        <f>SUMIF('P&amp;Ls'!$M$10:$M$50,'Business 433'!B3,'P&amp;Ls'!$K$10:$K$50)</f>
        <v>51783.960833333338</v>
      </c>
      <c r="E3" s="3" t="s">
        <v>58</v>
      </c>
      <c r="F3" s="2">
        <f>SUMIF('P&amp;Ls'!$T$10:$T$52,'Business 433'!E3,'P&amp;Ls'!$R$10:$R$52)</f>
        <v>-127.00666666666666</v>
      </c>
      <c r="H3" s="3" t="s">
        <v>58</v>
      </c>
      <c r="I3" s="2">
        <f>SUMIF('P&amp;Ls'!$AA$10:$AA$50,'Business 433'!H3,'P&amp;Ls'!$Y$10:$Y$50)</f>
        <v>-80.094999999999999</v>
      </c>
      <c r="J3" s="4">
        <f>(C3/SUM(C3,C5))*I5</f>
        <v>60633.167640220134</v>
      </c>
      <c r="L3" s="3" t="s">
        <v>58</v>
      </c>
      <c r="M3" s="2">
        <f>SUMIF('P&amp;Ls'!$AO$10:$AO$50,'Business 433'!L3,'P&amp;Ls'!$AM$10:$AM$50)</f>
        <v>3004.1641666666669</v>
      </c>
      <c r="N3" s="4"/>
    </row>
    <row r="4" spans="2:16" x14ac:dyDescent="0.2">
      <c r="B4" s="3" t="s">
        <v>59</v>
      </c>
      <c r="C4" s="2">
        <f>SUMIF('P&amp;Ls'!$M$10:$M$50,'Business 433'!B4,'P&amp;Ls'!$K$10:$K$50)</f>
        <v>0</v>
      </c>
      <c r="E4" s="3" t="s">
        <v>59</v>
      </c>
      <c r="F4" s="2">
        <f>SUMIF('P&amp;Ls'!$T$10:$T$52,'Business 433'!E4,'P&amp;Ls'!$R$10:$R$52)</f>
        <v>0</v>
      </c>
      <c r="H4" s="3" t="s">
        <v>59</v>
      </c>
      <c r="I4" s="2">
        <f>SUMIF('P&amp;Ls'!$AA$10:$AA$50,'Business 433'!H4,'P&amp;Ls'!$Y$10:$Y$50)</f>
        <v>0</v>
      </c>
      <c r="L4" s="3" t="s">
        <v>59</v>
      </c>
      <c r="M4" s="2">
        <f>SUMIF('P&amp;Ls'!$AO$10:$AO$50,'Business 433'!L4,'P&amp;Ls'!$AM$10:$AM$50)</f>
        <v>0</v>
      </c>
    </row>
    <row r="5" spans="2:16" x14ac:dyDescent="0.2">
      <c r="B5" s="3" t="s">
        <v>60</v>
      </c>
      <c r="C5" s="2">
        <f>SUMIF('P&amp;Ls'!$M$10:$M$50,'Business 433'!B5,'P&amp;Ls'!$K$10:$K$50)</f>
        <v>75667.189999999988</v>
      </c>
      <c r="E5" s="3" t="s">
        <v>60</v>
      </c>
      <c r="F5" s="2">
        <f>SUMIF('P&amp;Ls'!$T$10:$T$52,'Business 433'!E5,'P&amp;Ls'!$R$10:$R$52)</f>
        <v>182251.39499999999</v>
      </c>
      <c r="H5" s="3" t="s">
        <v>60</v>
      </c>
      <c r="I5" s="2">
        <f>SUMIF('P&amp;Ls'!$AA$10:$AA$50,'Business 433'!H5,'P&amp;Ls'!$Y$10:$Y$50)</f>
        <v>149230.89833333332</v>
      </c>
      <c r="J5" s="4">
        <f>I5-J3</f>
        <v>88597.730693113175</v>
      </c>
      <c r="L5" s="3" t="s">
        <v>60</v>
      </c>
      <c r="M5" s="2">
        <f>SUMIF('P&amp;Ls'!AO10:AO47,'Business 433'!L5,'P&amp;Ls'!AM10:AM47)</f>
        <v>149183.39833333332</v>
      </c>
      <c r="N5" s="4"/>
    </row>
    <row r="6" spans="2:16" x14ac:dyDescent="0.2">
      <c r="B6" s="3" t="s">
        <v>61</v>
      </c>
      <c r="C6" s="2">
        <f>SUMIF('P&amp;Ls'!$M$10:$M$50,'Business 433'!B6,'P&amp;Ls'!$K$10:$K$50)</f>
        <v>762.52333333333343</v>
      </c>
      <c r="E6" s="3" t="s">
        <v>61</v>
      </c>
      <c r="F6" s="2">
        <f>SUMIF('P&amp;Ls'!$T$10:$T$52,'Business 433'!E6,'P&amp;Ls'!$R$10:$R$52)</f>
        <v>750</v>
      </c>
      <c r="H6" s="3" t="s">
        <v>61</v>
      </c>
      <c r="I6" s="2">
        <f>SUMIF('P&amp;Ls'!$AA$10:$AA$50,'Business 433'!H6,'P&amp;Ls'!$Y$10:$Y$50)</f>
        <v>762.52333333333343</v>
      </c>
      <c r="L6" s="3" t="s">
        <v>61</v>
      </c>
      <c r="M6" s="2">
        <f>SUMIF('P&amp;Ls'!$AO$10:$AO$50,'Business 433'!L6,'P&amp;Ls'!$AM$10:$AM$50)</f>
        <v>762.52333333333343</v>
      </c>
    </row>
    <row r="7" spans="2:16" x14ac:dyDescent="0.2">
      <c r="B7" s="3" t="s">
        <v>62</v>
      </c>
      <c r="C7" s="2">
        <f>SUMIF('P&amp;Ls'!$M$10:$M$50,'Business 433'!B7,'P&amp;Ls'!$K$10:$K$50)</f>
        <v>382.00749999999999</v>
      </c>
      <c r="E7" s="3" t="s">
        <v>62</v>
      </c>
      <c r="F7" s="2">
        <f>SUMIF('P&amp;Ls'!$T$10:$T$52,'Business 433'!E7,'P&amp;Ls'!$R$10:$R$52)</f>
        <v>473.45833333333331</v>
      </c>
      <c r="H7" s="3" t="s">
        <v>62</v>
      </c>
      <c r="I7" s="2">
        <f>SUMIF('P&amp;Ls'!$AA$10:$AA$50,'Business 433'!H7,'P&amp;Ls'!$Y$10:$Y$50)</f>
        <v>382.00749999999999</v>
      </c>
      <c r="L7" s="3" t="s">
        <v>62</v>
      </c>
      <c r="M7" s="2">
        <f>SUMIF('P&amp;Ls'!$AO$10:$AO$50,'Business 433'!L7,'P&amp;Ls'!$AM$10:$AM$50)</f>
        <v>382.00749999999999</v>
      </c>
    </row>
    <row r="8" spans="2:16" x14ac:dyDescent="0.2">
      <c r="B8" s="3" t="s">
        <v>63</v>
      </c>
      <c r="C8" s="2">
        <f>SUMIF('P&amp;Ls'!$M$10:$M$50,'Business 433'!B8,'P&amp;Ls'!$K$10:$K$50)</f>
        <v>1699.5766666666666</v>
      </c>
      <c r="E8" s="3" t="s">
        <v>63</v>
      </c>
      <c r="F8" s="2">
        <f>SUMIF('P&amp;Ls'!$T$10:$T$52,'Business 433'!E8,'P&amp;Ls'!$R$10:$R$52)</f>
        <v>1952.2233333333334</v>
      </c>
      <c r="H8" s="3" t="s">
        <v>63</v>
      </c>
      <c r="I8" s="2">
        <f>SUMIF('P&amp;Ls'!$AA$10:$AA$50,'Business 433'!H8,'P&amp;Ls'!$Y$10:$Y$50)</f>
        <v>1699.5766666666666</v>
      </c>
      <c r="L8" s="3" t="s">
        <v>63</v>
      </c>
      <c r="M8" s="2">
        <f>SUMIF('P&amp;Ls'!$AO$10:$AO$50,'Business 433'!L8,'P&amp;Ls'!$AM$10:$AM$50)</f>
        <v>1699.5766666666666</v>
      </c>
      <c r="P8" s="4"/>
    </row>
    <row r="9" spans="2:16" x14ac:dyDescent="0.2">
      <c r="B9" s="3" t="s">
        <v>64</v>
      </c>
      <c r="C9" s="2">
        <f>SUMIF('P&amp;Ls'!$M$10:$M$50,'Business 433'!B9,'P&amp;Ls'!$K$10:$K$50)</f>
        <v>1336.6633333333332</v>
      </c>
      <c r="E9" s="3" t="s">
        <v>64</v>
      </c>
      <c r="F9" s="2">
        <f>SUMIF('P&amp;Ls'!$T$10:$T$52,'Business 433'!E9,'P&amp;Ls'!$R$10:$R$52)</f>
        <v>1357.7</v>
      </c>
      <c r="H9" s="3" t="s">
        <v>64</v>
      </c>
      <c r="I9" s="2">
        <f>SUMIF('P&amp;Ls'!$AA$10:$AA$50,'Business 433'!H9,'P&amp;Ls'!$Y$10:$Y$50)</f>
        <v>1336.6633333333332</v>
      </c>
      <c r="L9" s="3" t="s">
        <v>64</v>
      </c>
      <c r="M9" s="2">
        <f>SUMIF('P&amp;Ls'!$AO$10:$AO$50,'Business 433'!L9,'P&amp;Ls'!$AM$10:$AM$50)</f>
        <v>1340.4133333333332</v>
      </c>
      <c r="P9" s="4"/>
    </row>
    <row r="10" spans="2:16" x14ac:dyDescent="0.2">
      <c r="B10" s="3" t="s">
        <v>65</v>
      </c>
      <c r="C10" s="2">
        <f>SUMIF('P&amp;Ls'!$M$10:$M$50,'Business 433'!B10,'P&amp;Ls'!$K$10:$K$50)</f>
        <v>0</v>
      </c>
      <c r="E10" s="3" t="s">
        <v>65</v>
      </c>
      <c r="F10" s="2">
        <f>SUMIF('P&amp;Ls'!$T$10:$T$52,'Business 433'!E10,'P&amp;Ls'!$R$10:$R$52)</f>
        <v>0</v>
      </c>
      <c r="H10" s="3" t="s">
        <v>65</v>
      </c>
      <c r="I10" s="2">
        <f>SUMIF('P&amp;Ls'!$AA$10:$AA$50,'Business 433'!H10,'P&amp;Ls'!$Y$10:$Y$50)</f>
        <v>0</v>
      </c>
      <c r="L10" s="3" t="s">
        <v>65</v>
      </c>
      <c r="M10" s="2">
        <f>SUMIF('P&amp;Ls'!$AO$10:$AO$50,'Business 433'!L10,'P&amp;Ls'!$AM$10:$AM$50)</f>
        <v>0</v>
      </c>
      <c r="P10" s="4"/>
    </row>
    <row r="11" spans="2:16" x14ac:dyDescent="0.2">
      <c r="B11" s="3" t="s">
        <v>66</v>
      </c>
      <c r="C11" s="2">
        <f>SUMIF('P&amp;Ls'!$M$10:$M$50,'Business 433'!B11,'P&amp;Ls'!$K$10:$K$50)</f>
        <v>1283.4008333333334</v>
      </c>
      <c r="E11" s="3" t="s">
        <v>66</v>
      </c>
      <c r="F11" s="2">
        <f>SUMIF('P&amp;Ls'!$T$10:$T$52,'Business 433'!E11,'P&amp;Ls'!$R$10:$R$52)</f>
        <v>1311.8133333333335</v>
      </c>
      <c r="H11" s="3" t="s">
        <v>66</v>
      </c>
      <c r="I11" s="2">
        <f>SUMIF('P&amp;Ls'!$AA$10:$AA$50,'Business 433'!H11,'P&amp;Ls'!$Y$10:$Y$50)</f>
        <v>1283.4008333333334</v>
      </c>
      <c r="L11" s="3" t="s">
        <v>66</v>
      </c>
      <c r="M11" s="2">
        <f>SUMIF('P&amp;Ls'!$AO$10:$AO$50,'Business 433'!L11,'P&amp;Ls'!$AM$10:$AM$50)</f>
        <v>1283.4008333333334</v>
      </c>
    </row>
    <row r="12" spans="2:16" x14ac:dyDescent="0.2">
      <c r="B12" s="3" t="s">
        <v>67</v>
      </c>
      <c r="C12" s="2">
        <f>SUMIF('P&amp;Ls'!$M$10:$M$50,'Business 433'!B12,'P&amp;Ls'!$K$10:$K$50)</f>
        <v>0</v>
      </c>
      <c r="E12" s="3" t="s">
        <v>67</v>
      </c>
      <c r="F12" s="2">
        <f>SUMIF('P&amp;Ls'!$T$10:$T$52,'Business 433'!E12,'P&amp;Ls'!$R$10:$R$52)</f>
        <v>0</v>
      </c>
      <c r="H12" s="3" t="s">
        <v>67</v>
      </c>
      <c r="I12" s="2">
        <f>SUMIF('P&amp;Ls'!$AA$10:$AA$50,'Business 433'!H12,'P&amp;Ls'!$Y$10:$Y$50)</f>
        <v>0</v>
      </c>
      <c r="L12" s="3" t="s">
        <v>67</v>
      </c>
      <c r="M12" s="2">
        <f>SUMIF('P&amp;Ls'!$AO$10:$AO$50,'Business 433'!L12,'P&amp;Ls'!$AM$10:$AM$50)</f>
        <v>0</v>
      </c>
    </row>
    <row r="13" spans="2:16" x14ac:dyDescent="0.2">
      <c r="B13" s="3" t="s">
        <v>68</v>
      </c>
      <c r="C13" s="2">
        <f>SUM(C14:C22)</f>
        <v>6104.8866666666672</v>
      </c>
      <c r="E13" s="3" t="s">
        <v>68</v>
      </c>
      <c r="F13" s="2">
        <f>SUM(F14:F22)</f>
        <v>4512.5650000000005</v>
      </c>
      <c r="H13" s="3" t="s">
        <v>68</v>
      </c>
      <c r="I13" s="2">
        <f>SUM(I14:I22)</f>
        <v>6104.8866666666672</v>
      </c>
      <c r="L13" s="3" t="s">
        <v>68</v>
      </c>
      <c r="M13" s="2">
        <f>SUM(M14:M22)</f>
        <v>6361.9541666666664</v>
      </c>
    </row>
    <row r="14" spans="2:16" x14ac:dyDescent="0.2">
      <c r="B14" s="5" t="s">
        <v>69</v>
      </c>
      <c r="C14" s="2">
        <f>SUMIF('P&amp;Ls'!$M$10:$M$50,'Business 433'!B14,'P&amp;Ls'!$K$10:$K$50)</f>
        <v>138.58416666666668</v>
      </c>
      <c r="E14" s="5" t="s">
        <v>69</v>
      </c>
      <c r="F14" s="2">
        <f>SUMIF('P&amp;Ls'!$T$10:$T$52,'Business 433'!E14,'P&amp;Ls'!$R$10:$R$52)</f>
        <v>137.91666666666666</v>
      </c>
      <c r="H14" s="5" t="s">
        <v>69</v>
      </c>
      <c r="I14" s="2">
        <f>SUMIF('P&amp;Ls'!$AA$10:$AA$50,'Business 433'!H14,'P&amp;Ls'!$Y$10:$Y$50)</f>
        <v>138.58416666666668</v>
      </c>
      <c r="L14" s="5" t="s">
        <v>69</v>
      </c>
      <c r="M14" s="2">
        <f>SUMIF('P&amp;Ls'!$AO$10:$AO$50,'Business 433'!L14,'P&amp;Ls'!$AM$10:$AM$50)</f>
        <v>138.58416666666668</v>
      </c>
    </row>
    <row r="15" spans="2:16" x14ac:dyDescent="0.2">
      <c r="B15" s="5" t="s">
        <v>73</v>
      </c>
      <c r="C15" s="2">
        <f>SUMIF('P&amp;Ls'!$M$10:$M$50,'Business 433'!B15,'P&amp;Ls'!$K$10:$K$50)</f>
        <v>3481.6316666666671</v>
      </c>
      <c r="E15" s="5" t="s">
        <v>73</v>
      </c>
      <c r="F15" s="2">
        <v>1466</v>
      </c>
      <c r="H15" s="5" t="s">
        <v>73</v>
      </c>
      <c r="I15" s="2">
        <f>SUMIF('P&amp;Ls'!$AA$10:$AA$50,'Business 433'!H15,'P&amp;Ls'!$Y$10:$Y$50)</f>
        <v>3481.6316666666671</v>
      </c>
      <c r="L15" s="5" t="s">
        <v>73</v>
      </c>
      <c r="M15" s="2">
        <f>SUMIF('P&amp;Ls'!$AO$10:$AO$50,'Business 433'!L15,'P&amp;Ls'!$AM$10:$AM$50)</f>
        <v>3809.5283333333332</v>
      </c>
    </row>
    <row r="16" spans="2:16" x14ac:dyDescent="0.2">
      <c r="B16" s="5" t="s">
        <v>70</v>
      </c>
      <c r="C16" s="2">
        <f>SUMIF('P&amp;Ls'!$M$10:$M$50,'Business 433'!B16,'P&amp;Ls'!$K$10:$K$50)</f>
        <v>1842.9350000000002</v>
      </c>
      <c r="E16" s="5" t="s">
        <v>70</v>
      </c>
      <c r="F16" s="2">
        <f>SUMIF('P&amp;Ls'!$T$10:$T$52,'Business 433'!E16,'P&amp;Ls'!$R$10:$R$52)</f>
        <v>2112.9683333333332</v>
      </c>
      <c r="H16" s="5" t="s">
        <v>70</v>
      </c>
      <c r="I16" s="2">
        <f>SUMIF('P&amp;Ls'!$AA$10:$AA$50,'Business 433'!H16,'P&amp;Ls'!$Y$10:$Y$50)</f>
        <v>1842.9350000000002</v>
      </c>
      <c r="L16" s="5" t="s">
        <v>70</v>
      </c>
      <c r="M16" s="2">
        <f>SUMIF('P&amp;Ls'!$AO$10:$AO$50,'Business 433'!L16,'P&amp;Ls'!$AM$10:$AM$50)</f>
        <v>1772.1058333333333</v>
      </c>
      <c r="O16" s="2"/>
    </row>
    <row r="17" spans="2:15" x14ac:dyDescent="0.2">
      <c r="B17" s="5" t="s">
        <v>71</v>
      </c>
      <c r="C17" s="2">
        <f>SUMIF('P&amp;Ls'!$M$10:$M$50,'Business 433'!B17,'P&amp;Ls'!$K$10:$K$50)</f>
        <v>140.47083333333333</v>
      </c>
      <c r="E17" s="5" t="s">
        <v>71</v>
      </c>
      <c r="F17" s="2">
        <f>SUMIF('P&amp;Ls'!$T$10:$T$52,'Business 433'!E17,'P&amp;Ls'!$R$10:$R$52)</f>
        <v>133.62333333333333</v>
      </c>
      <c r="H17" s="5" t="s">
        <v>71</v>
      </c>
      <c r="I17" s="2">
        <f>SUMIF('P&amp;Ls'!$AA$10:$AA$50,'Business 433'!H17,'P&amp;Ls'!$Y$10:$Y$50)</f>
        <v>140.47083333333333</v>
      </c>
      <c r="L17" s="5" t="s">
        <v>71</v>
      </c>
      <c r="M17" s="2">
        <f>SUMIF('P&amp;Ls'!$AO$10:$AO$50,'Business 433'!L17,'P&amp;Ls'!$AM$10:$AM$50)</f>
        <v>140.47083333333333</v>
      </c>
      <c r="O17" s="2"/>
    </row>
    <row r="18" spans="2:15" x14ac:dyDescent="0.2">
      <c r="B18" s="5" t="s">
        <v>72</v>
      </c>
      <c r="C18" s="2">
        <f>SUMIF('P&amp;Ls'!$M$10:$M$50,'Business 433'!B18,'P&amp;Ls'!$K$10:$K$50)</f>
        <v>487.19499999999994</v>
      </c>
      <c r="E18" s="5" t="s">
        <v>72</v>
      </c>
      <c r="F18" s="2">
        <f>SUMIF('P&amp;Ls'!$T$10:$T$52,'Business 433'!E18,'P&amp;Ls'!$R$10:$R$52)</f>
        <v>649.89</v>
      </c>
      <c r="H18" s="5" t="s">
        <v>72</v>
      </c>
      <c r="I18" s="2">
        <f>SUMIF('P&amp;Ls'!$AA$10:$AA$50,'Business 433'!H18,'P&amp;Ls'!$Y$10:$Y$50)</f>
        <v>487.19499999999994</v>
      </c>
      <c r="L18" s="5" t="s">
        <v>72</v>
      </c>
      <c r="M18" s="2">
        <f>SUMIF('P&amp;Ls'!$AO$10:$AO$50,'Business 433'!L18,'P&amp;Ls'!$AM$10:$AM$50)</f>
        <v>487.19499999999994</v>
      </c>
      <c r="O18" s="2"/>
    </row>
    <row r="19" spans="2:15" x14ac:dyDescent="0.2">
      <c r="B19" s="5" t="s">
        <v>74</v>
      </c>
      <c r="C19" s="2">
        <f>SUMIF('P&amp;Ls'!$M$10:$M$50,'Business 433'!B19,'P&amp;Ls'!$K$10:$K$50)</f>
        <v>14.07</v>
      </c>
      <c r="E19" s="5" t="s">
        <v>74</v>
      </c>
      <c r="F19" s="2">
        <f>SUMIF('P&amp;Ls'!$T$10:$T$52,'Business 433'!E19,'P&amp;Ls'!$R$10:$R$52)</f>
        <v>12.166666666666666</v>
      </c>
      <c r="H19" s="5" t="s">
        <v>74</v>
      </c>
      <c r="I19" s="2">
        <f>SUMIF('P&amp;Ls'!$AA$10:$AA$50,'Business 433'!H19,'P&amp;Ls'!$Y$10:$Y$50)</f>
        <v>14.07</v>
      </c>
      <c r="L19" s="5" t="s">
        <v>74</v>
      </c>
      <c r="M19" s="2">
        <f>SUMIF('P&amp;Ls'!$AO$10:$AO$50,'Business 433'!L19,'P&amp;Ls'!$AM$10:$AM$50)</f>
        <v>14.07</v>
      </c>
    </row>
    <row r="20" spans="2:15" x14ac:dyDescent="0.2">
      <c r="B20" s="5" t="s">
        <v>107</v>
      </c>
      <c r="C20" s="2">
        <f>SUMIF('P&amp;Ls'!$M$10:$M$50,'Business 433'!B20,'P&amp;Ls'!$K$10:$K$50)</f>
        <v>0</v>
      </c>
      <c r="E20" s="5" t="s">
        <v>107</v>
      </c>
      <c r="F20" s="2">
        <f>SUMIF('P&amp;Ls'!$T$10:$T$52,'Business 433'!E20,'P&amp;Ls'!$R$10:$R$52)</f>
        <v>0</v>
      </c>
      <c r="H20" s="5" t="s">
        <v>107</v>
      </c>
      <c r="I20" s="2">
        <f>SUMIF('P&amp;Ls'!$AA$10:$AA$50,'Business 433'!H20,'P&amp;Ls'!$Y$10:$Y$50)</f>
        <v>0</v>
      </c>
      <c r="L20" s="5" t="s">
        <v>107</v>
      </c>
      <c r="M20" s="2">
        <f>SUMIF('P&amp;Ls'!$AO$10:$AO$50,'Business 433'!L20,'P&amp;Ls'!$AM$10:$AM$50)</f>
        <v>0</v>
      </c>
    </row>
    <row r="21" spans="2:15" x14ac:dyDescent="0.2">
      <c r="B21" s="5" t="s">
        <v>107</v>
      </c>
      <c r="C21" s="2">
        <f>SUMIF('P&amp;Ls'!$M$10:$M$50,'Business 433'!B21,'P&amp;Ls'!$K$10:$K$50)</f>
        <v>0</v>
      </c>
      <c r="E21" s="5" t="s">
        <v>107</v>
      </c>
      <c r="F21" s="2">
        <f>SUMIF('P&amp;Ls'!$T$10:$T$52,'Business 433'!E21,'P&amp;Ls'!$R$10:$R$52)</f>
        <v>0</v>
      </c>
      <c r="H21" s="5" t="s">
        <v>107</v>
      </c>
      <c r="I21" s="2">
        <f>SUMIF('P&amp;Ls'!$AA$10:$AA$50,'Business 433'!H21,'P&amp;Ls'!$Y$10:$Y$50)</f>
        <v>0</v>
      </c>
      <c r="L21" s="5" t="s">
        <v>107</v>
      </c>
      <c r="M21" s="2">
        <f>SUMIF('P&amp;Ls'!$AO$10:$AO$50,'Business 433'!L21,'P&amp;Ls'!$AM$10:$AM$50)</f>
        <v>0</v>
      </c>
    </row>
    <row r="22" spans="2:15" x14ac:dyDescent="0.2">
      <c r="B22" s="5" t="s">
        <v>107</v>
      </c>
      <c r="C22" s="2">
        <f>SUMIF('P&amp;Ls'!$M$10:$M$50,'Business 433'!B22,'P&amp;Ls'!$K$10:$K$50)</f>
        <v>0</v>
      </c>
      <c r="E22" s="5" t="s">
        <v>107</v>
      </c>
      <c r="F22" s="2">
        <f>SUMIF('P&amp;Ls'!$T$10:$T$52,'Business 433'!E22,'P&amp;Ls'!$R$10:$R$52)</f>
        <v>0</v>
      </c>
      <c r="H22" s="5" t="s">
        <v>107</v>
      </c>
      <c r="I22" s="2">
        <f>SUMIF('P&amp;Ls'!$AA$10:$AA$50,'Business 433'!H22,'P&amp;Ls'!$Y$10:$Y$50)</f>
        <v>0</v>
      </c>
      <c r="L22" s="5" t="s">
        <v>107</v>
      </c>
      <c r="M22" s="2">
        <f>SUMIF('P&amp;Ls'!$AO$10:$AO$50,'Business 433'!L22,'P&amp;Ls'!$AM$10:$AM$50)</f>
        <v>0</v>
      </c>
    </row>
    <row r="29" spans="2:15" x14ac:dyDescent="0.2">
      <c r="B29" s="3" t="s">
        <v>1</v>
      </c>
      <c r="C29" s="2">
        <f>'P&amp;Ls'!K8</f>
        <v>135176.60583333333</v>
      </c>
      <c r="E29" s="3" t="s">
        <v>1</v>
      </c>
      <c r="F29" s="2">
        <f>'P&amp;Ls'!R7</f>
        <v>180589.33833333335</v>
      </c>
      <c r="H29" s="3" t="s">
        <v>1</v>
      </c>
      <c r="I29" s="2">
        <f>'P&amp;Ls'!Y8</f>
        <v>156584.59166666667</v>
      </c>
      <c r="L29" s="3" t="s">
        <v>1</v>
      </c>
      <c r="M29" s="2">
        <f>'P&amp;Ls'!AM8</f>
        <v>159668.85083333333</v>
      </c>
    </row>
    <row r="30" spans="2:15" x14ac:dyDescent="0.2">
      <c r="B30" s="3" t="s">
        <v>170</v>
      </c>
      <c r="C30" s="2">
        <f>SUM(C3:C13)</f>
        <v>139020.20916666667</v>
      </c>
      <c r="E30" s="3" t="s">
        <v>170</v>
      </c>
      <c r="F30" s="2">
        <f>SUM(F3:F13)</f>
        <v>192482.14833333335</v>
      </c>
      <c r="H30" s="3" t="s">
        <v>170</v>
      </c>
      <c r="I30" s="2">
        <f>SUM(I3:I13)</f>
        <v>160719.86166666666</v>
      </c>
      <c r="L30" s="3" t="s">
        <v>170</v>
      </c>
      <c r="M30" s="2">
        <f>SUM(M3:M13)</f>
        <v>164017.43833333332</v>
      </c>
    </row>
    <row r="31" spans="2:15" x14ac:dyDescent="0.2">
      <c r="B31" s="3" t="s">
        <v>77</v>
      </c>
      <c r="C31" s="2">
        <f>C29-C30</f>
        <v>-3843.6033333333326</v>
      </c>
      <c r="E31" s="3" t="s">
        <v>77</v>
      </c>
      <c r="F31" s="2">
        <f>F29-F30</f>
        <v>-11892.809999999998</v>
      </c>
      <c r="H31" s="3" t="s">
        <v>77</v>
      </c>
      <c r="I31" s="2">
        <f>I29-I30</f>
        <v>-4135.2699999999895</v>
      </c>
      <c r="L31" s="3" t="s">
        <v>77</v>
      </c>
      <c r="M31" s="2">
        <f>M29-M30</f>
        <v>-4348.5874999999942</v>
      </c>
    </row>
  </sheetData>
  <mergeCells count="3">
    <mergeCell ref="B1:C1"/>
    <mergeCell ref="J1:J2"/>
    <mergeCell ref="N1:N2"/>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902E33-8C6D-431B-BCA4-A3C18B5CF2D6}">
  <dimension ref="A1:D17"/>
  <sheetViews>
    <sheetView workbookViewId="0">
      <selection activeCell="A2" sqref="A2:C2"/>
    </sheetView>
  </sheetViews>
  <sheetFormatPr defaultRowHeight="12.75" x14ac:dyDescent="0.2"/>
  <cols>
    <col min="1" max="1" width="113.33203125" style="12" bestFit="1" customWidth="1"/>
    <col min="2" max="2" width="10.6640625" style="12" bestFit="1" customWidth="1"/>
    <col min="3" max="3" width="47" style="12" customWidth="1"/>
    <col min="4" max="4" width="48.5" style="12" customWidth="1"/>
    <col min="5" max="5" width="50.83203125" style="12" customWidth="1"/>
    <col min="6" max="6" width="42.1640625" style="12" customWidth="1"/>
    <col min="7" max="16384" width="9.33203125" style="12"/>
  </cols>
  <sheetData>
    <row r="1" spans="1:4" s="6" customFormat="1" ht="30" customHeight="1" x14ac:dyDescent="0.2">
      <c r="A1" s="6" t="s">
        <v>78</v>
      </c>
      <c r="B1" s="7">
        <v>45701</v>
      </c>
      <c r="C1" s="6" t="s">
        <v>79</v>
      </c>
    </row>
    <row r="2" spans="1:4" s="6" customFormat="1" ht="30" customHeight="1" x14ac:dyDescent="0.2">
      <c r="A2" s="8" t="s">
        <v>80</v>
      </c>
      <c r="B2" s="9">
        <v>45701</v>
      </c>
      <c r="C2" s="82" t="s">
        <v>162</v>
      </c>
    </row>
    <row r="3" spans="1:4" s="6" customFormat="1" ht="30" customHeight="1" x14ac:dyDescent="0.2">
      <c r="A3" s="6" t="s">
        <v>81</v>
      </c>
      <c r="B3" s="7">
        <v>45701</v>
      </c>
      <c r="C3" s="6" t="s">
        <v>88</v>
      </c>
    </row>
    <row r="4" spans="1:4" s="6" customFormat="1" ht="30" customHeight="1" x14ac:dyDescent="0.2">
      <c r="A4" s="8" t="s">
        <v>82</v>
      </c>
      <c r="B4" s="9">
        <v>45701</v>
      </c>
      <c r="C4" s="6" t="s">
        <v>162</v>
      </c>
    </row>
    <row r="5" spans="1:4" s="6" customFormat="1" ht="30" customHeight="1" x14ac:dyDescent="0.2">
      <c r="A5" s="6" t="s">
        <v>83</v>
      </c>
      <c r="B5" s="7">
        <v>45701</v>
      </c>
    </row>
    <row r="6" spans="1:4" s="6" customFormat="1" ht="38.25" x14ac:dyDescent="0.2">
      <c r="A6" s="10" t="s">
        <v>84</v>
      </c>
      <c r="B6" s="7">
        <v>45701</v>
      </c>
      <c r="C6" s="10" t="s">
        <v>85</v>
      </c>
      <c r="D6" s="6" t="s">
        <v>164</v>
      </c>
    </row>
    <row r="7" spans="1:4" s="6" customFormat="1" ht="30" customHeight="1" x14ac:dyDescent="0.2">
      <c r="A7" s="6" t="s">
        <v>86</v>
      </c>
      <c r="B7" s="7">
        <v>45701</v>
      </c>
    </row>
    <row r="8" spans="1:4" s="6" customFormat="1" ht="30" customHeight="1" x14ac:dyDescent="0.2">
      <c r="A8" s="6" t="s">
        <v>87</v>
      </c>
      <c r="B8" s="7">
        <v>45701</v>
      </c>
      <c r="C8" s="6" t="s">
        <v>165</v>
      </c>
    </row>
    <row r="9" spans="1:4" s="6" customFormat="1" ht="30" customHeight="1" x14ac:dyDescent="0.2">
      <c r="A9" s="10" t="s">
        <v>89</v>
      </c>
      <c r="B9" s="7">
        <v>45701</v>
      </c>
      <c r="C9" s="6" t="s">
        <v>90</v>
      </c>
    </row>
    <row r="10" spans="1:4" s="6" customFormat="1" ht="30" customHeight="1" x14ac:dyDescent="0.2">
      <c r="A10" s="6" t="s">
        <v>91</v>
      </c>
      <c r="B10" s="7">
        <v>45701</v>
      </c>
      <c r="C10" s="6" t="s">
        <v>90</v>
      </c>
    </row>
    <row r="11" spans="1:4" s="6" customFormat="1" ht="30" customHeight="1" x14ac:dyDescent="0.2">
      <c r="A11" s="10" t="s">
        <v>92</v>
      </c>
      <c r="B11" s="7">
        <v>45701</v>
      </c>
      <c r="C11" s="6" t="s">
        <v>166</v>
      </c>
    </row>
    <row r="12" spans="1:4" s="6" customFormat="1" ht="30" customHeight="1" x14ac:dyDescent="0.2">
      <c r="A12" s="6" t="s">
        <v>93</v>
      </c>
      <c r="B12" s="7">
        <v>45701</v>
      </c>
      <c r="C12" s="6" t="s">
        <v>167</v>
      </c>
    </row>
    <row r="13" spans="1:4" s="6" customFormat="1" ht="30" customHeight="1" x14ac:dyDescent="0.2">
      <c r="A13" s="6" t="s">
        <v>94</v>
      </c>
      <c r="B13" s="7">
        <v>45701</v>
      </c>
    </row>
    <row r="14" spans="1:4" s="6" customFormat="1" ht="30" customHeight="1" x14ac:dyDescent="0.2">
      <c r="A14" s="8" t="s">
        <v>95</v>
      </c>
      <c r="B14" s="9">
        <v>45701</v>
      </c>
      <c r="C14" s="6" t="s">
        <v>162</v>
      </c>
    </row>
    <row r="15" spans="1:4" s="6" customFormat="1" ht="30" customHeight="1" x14ac:dyDescent="0.2">
      <c r="A15" s="8" t="s">
        <v>96</v>
      </c>
      <c r="B15" s="9">
        <v>45701</v>
      </c>
      <c r="C15" s="6" t="s">
        <v>97</v>
      </c>
    </row>
    <row r="16" spans="1:4" s="6" customFormat="1" ht="30" customHeight="1" x14ac:dyDescent="0.2">
      <c r="A16" s="10" t="s">
        <v>98</v>
      </c>
      <c r="B16" s="7">
        <v>45672</v>
      </c>
      <c r="C16" s="10" t="s">
        <v>99</v>
      </c>
    </row>
    <row r="17" spans="2:2" s="6" customFormat="1" ht="18.95" customHeight="1" x14ac:dyDescent="0.2">
      <c r="B17" s="11"/>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001103-7C00-4472-98B2-01CAE820224D}">
  <dimension ref="B5:T33"/>
  <sheetViews>
    <sheetView workbookViewId="0">
      <selection activeCell="K16" sqref="K16"/>
    </sheetView>
  </sheetViews>
  <sheetFormatPr defaultRowHeight="12.75" x14ac:dyDescent="0.2"/>
  <cols>
    <col min="1" max="2" width="9.33203125" style="12"/>
    <col min="3" max="3" width="8.33203125" style="12" bestFit="1" customWidth="1"/>
    <col min="4" max="4" width="14.33203125" style="12" bestFit="1" customWidth="1"/>
    <col min="5" max="5" width="18" style="12" customWidth="1"/>
    <col min="6" max="6" width="18.1640625" style="12" customWidth="1"/>
    <col min="7" max="7" width="9.33203125" style="12"/>
    <col min="8" max="8" width="8.33203125" style="12" bestFit="1" customWidth="1"/>
    <col min="9" max="9" width="14.33203125" style="12" bestFit="1" customWidth="1"/>
    <col min="10" max="10" width="18" style="12" customWidth="1"/>
    <col min="11" max="11" width="18.1640625" style="12" customWidth="1"/>
    <col min="12" max="12" width="9.33203125" style="12"/>
    <col min="13" max="13" width="8.33203125" style="12" bestFit="1" customWidth="1"/>
    <col min="14" max="14" width="14.33203125" style="12" bestFit="1" customWidth="1"/>
    <col min="15" max="15" width="18" style="12" customWidth="1"/>
    <col min="16" max="16" width="18.1640625" style="12" customWidth="1"/>
    <col min="17" max="17" width="13" style="12" bestFit="1" customWidth="1"/>
    <col min="18" max="18" width="14.5" style="12" bestFit="1" customWidth="1"/>
    <col min="19" max="16384" width="9.33203125" style="12"/>
  </cols>
  <sheetData>
    <row r="5" spans="2:20" x14ac:dyDescent="0.2">
      <c r="D5" s="97" t="s">
        <v>100</v>
      </c>
      <c r="E5" s="97"/>
      <c r="F5" s="97"/>
      <c r="I5" s="97" t="s">
        <v>101</v>
      </c>
      <c r="J5" s="97"/>
      <c r="K5" s="97"/>
      <c r="N5" s="97" t="s">
        <v>102</v>
      </c>
      <c r="O5" s="97"/>
      <c r="P5" s="97"/>
    </row>
    <row r="6" spans="2:20" x14ac:dyDescent="0.2">
      <c r="D6" s="12" t="s">
        <v>103</v>
      </c>
      <c r="E6" s="12" t="s">
        <v>104</v>
      </c>
      <c r="F6" s="12" t="s">
        <v>161</v>
      </c>
      <c r="I6" s="12" t="s">
        <v>103</v>
      </c>
      <c r="J6" s="12" t="s">
        <v>104</v>
      </c>
      <c r="K6" s="12" t="s">
        <v>105</v>
      </c>
      <c r="N6" s="12" t="s">
        <v>103</v>
      </c>
      <c r="O6" s="12" t="s">
        <v>104</v>
      </c>
      <c r="P6" s="12" t="s">
        <v>105</v>
      </c>
      <c r="T6" s="12" t="s">
        <v>107</v>
      </c>
    </row>
    <row r="7" spans="2:20" x14ac:dyDescent="0.2">
      <c r="C7" s="18">
        <v>45474</v>
      </c>
      <c r="D7" s="20">
        <v>19199.849999999999</v>
      </c>
      <c r="E7" s="20">
        <v>19199.849999999999</v>
      </c>
      <c r="F7" s="13">
        <f>D7-E7</f>
        <v>0</v>
      </c>
      <c r="H7" s="18">
        <v>45474</v>
      </c>
      <c r="I7" s="20">
        <v>227260.56</v>
      </c>
      <c r="J7" s="20">
        <v>175.86</v>
      </c>
      <c r="K7" s="13">
        <f>I7-J7</f>
        <v>227084.7</v>
      </c>
      <c r="M7" s="18">
        <v>45474</v>
      </c>
      <c r="N7" s="20">
        <v>15584.92</v>
      </c>
      <c r="O7" s="20"/>
      <c r="P7" s="13">
        <f t="shared" ref="P7:P13" si="0">IF(N7="","",N7-O7)</f>
        <v>15584.92</v>
      </c>
    </row>
    <row r="8" spans="2:20" x14ac:dyDescent="0.2">
      <c r="C8" s="18">
        <v>45505</v>
      </c>
      <c r="D8" s="20">
        <v>35620.21</v>
      </c>
      <c r="E8" s="20">
        <v>24000</v>
      </c>
      <c r="F8" s="13">
        <f t="shared" ref="F8:F13" si="1">D8-E8</f>
        <v>11620.21</v>
      </c>
      <c r="H8" s="18">
        <v>45505</v>
      </c>
      <c r="I8" s="20">
        <v>185231.42</v>
      </c>
      <c r="J8" s="20">
        <v>9755</v>
      </c>
      <c r="K8" s="13">
        <f t="shared" ref="K8:K13" si="2">I8-J8</f>
        <v>175476.42</v>
      </c>
      <c r="M8" s="18">
        <v>45505</v>
      </c>
      <c r="N8" s="20">
        <v>14820</v>
      </c>
      <c r="O8" s="20"/>
      <c r="P8" s="13">
        <f t="shared" si="0"/>
        <v>14820</v>
      </c>
    </row>
    <row r="9" spans="2:20" x14ac:dyDescent="0.2">
      <c r="C9" s="18">
        <v>45536</v>
      </c>
      <c r="D9" s="20">
        <v>31214.799999999999</v>
      </c>
      <c r="E9" s="20">
        <v>27764.799999999999</v>
      </c>
      <c r="F9" s="13">
        <f t="shared" si="1"/>
        <v>3450</v>
      </c>
      <c r="H9" s="18">
        <v>45536</v>
      </c>
      <c r="I9" s="20">
        <v>183269.64</v>
      </c>
      <c r="J9" s="20">
        <v>3048.16</v>
      </c>
      <c r="K9" s="13">
        <f t="shared" si="2"/>
        <v>180221.48</v>
      </c>
      <c r="M9" s="18">
        <v>45536</v>
      </c>
      <c r="N9" s="20">
        <v>12572</v>
      </c>
      <c r="O9" s="20"/>
      <c r="P9" s="13">
        <f t="shared" si="0"/>
        <v>12572</v>
      </c>
    </row>
    <row r="10" spans="2:20" x14ac:dyDescent="0.2">
      <c r="C10" s="18">
        <v>45566</v>
      </c>
      <c r="D10" s="20">
        <v>36000</v>
      </c>
      <c r="E10" s="20">
        <v>36000</v>
      </c>
      <c r="F10" s="13">
        <f t="shared" si="1"/>
        <v>0</v>
      </c>
      <c r="H10" s="18">
        <v>45566</v>
      </c>
      <c r="I10" s="20">
        <v>228002.24</v>
      </c>
      <c r="J10" s="20">
        <v>4000</v>
      </c>
      <c r="K10" s="13">
        <f t="shared" si="2"/>
        <v>224002.24</v>
      </c>
      <c r="M10" s="18">
        <v>45566</v>
      </c>
      <c r="N10" s="20"/>
      <c r="O10" s="20"/>
      <c r="P10" s="13" t="str">
        <f>IF(N10="","",N10-O10)</f>
        <v/>
      </c>
    </row>
    <row r="11" spans="2:20" x14ac:dyDescent="0.2">
      <c r="C11" s="18">
        <v>45597</v>
      </c>
      <c r="D11" s="20">
        <v>22381.34</v>
      </c>
      <c r="E11" s="20">
        <v>22381.34</v>
      </c>
      <c r="F11" s="13">
        <f t="shared" si="1"/>
        <v>0</v>
      </c>
      <c r="H11" s="18">
        <v>45597</v>
      </c>
      <c r="I11" s="20">
        <v>147927.82</v>
      </c>
      <c r="J11" s="20">
        <v>4400</v>
      </c>
      <c r="K11" s="13">
        <f t="shared" si="2"/>
        <v>143527.82</v>
      </c>
      <c r="M11" s="18">
        <v>45597</v>
      </c>
      <c r="N11" s="20">
        <v>13670.69</v>
      </c>
      <c r="O11" s="20"/>
      <c r="P11" s="13">
        <f t="shared" si="0"/>
        <v>13670.69</v>
      </c>
    </row>
    <row r="12" spans="2:20" x14ac:dyDescent="0.2">
      <c r="C12" s="18">
        <v>45627</v>
      </c>
      <c r="D12" s="20">
        <v>17429.09</v>
      </c>
      <c r="E12" s="20">
        <v>17429.09</v>
      </c>
      <c r="F12" s="13">
        <f t="shared" si="1"/>
        <v>0</v>
      </c>
      <c r="H12" s="18">
        <v>45627</v>
      </c>
      <c r="I12" s="20">
        <v>146693.74</v>
      </c>
      <c r="J12" s="20">
        <v>0</v>
      </c>
      <c r="K12" s="13">
        <f t="shared" si="2"/>
        <v>146693.74</v>
      </c>
      <c r="M12" s="18">
        <v>45627</v>
      </c>
      <c r="N12" s="20">
        <v>10597.77</v>
      </c>
      <c r="O12" s="20"/>
      <c r="P12" s="13">
        <f t="shared" si="0"/>
        <v>10597.77</v>
      </c>
    </row>
    <row r="13" spans="2:20" x14ac:dyDescent="0.2">
      <c r="C13" s="18">
        <v>45658</v>
      </c>
      <c r="D13" s="16"/>
      <c r="E13" s="16"/>
      <c r="F13" s="13">
        <f t="shared" si="1"/>
        <v>0</v>
      </c>
      <c r="H13" s="18">
        <v>45658</v>
      </c>
      <c r="I13" s="20"/>
      <c r="J13" s="20"/>
      <c r="K13" s="13">
        <f t="shared" si="2"/>
        <v>0</v>
      </c>
      <c r="M13" s="18">
        <v>45658</v>
      </c>
      <c r="N13" s="20">
        <v>10992.73</v>
      </c>
      <c r="O13" s="20"/>
      <c r="P13" s="13">
        <f t="shared" si="0"/>
        <v>10992.73</v>
      </c>
    </row>
    <row r="14" spans="2:20" x14ac:dyDescent="0.2">
      <c r="B14" s="19"/>
      <c r="C14" s="19"/>
      <c r="D14" s="19"/>
      <c r="E14" s="19"/>
      <c r="F14" s="19"/>
      <c r="G14" s="19"/>
      <c r="H14" s="19"/>
      <c r="I14" s="19"/>
      <c r="J14" s="19"/>
      <c r="K14" s="19"/>
      <c r="L14" s="19"/>
      <c r="M14" s="19"/>
      <c r="N14" s="19"/>
      <c r="O14" s="19"/>
      <c r="P14" s="19"/>
    </row>
    <row r="15" spans="2:20" x14ac:dyDescent="0.2">
      <c r="E15" s="25" t="s">
        <v>153</v>
      </c>
      <c r="F15" s="13">
        <f>SUM(F7:F14)</f>
        <v>15070.21</v>
      </c>
      <c r="K15" s="13">
        <f>SUM(K7:K14)</f>
        <v>1097006.3999999999</v>
      </c>
      <c r="P15" s="13">
        <f>SUM(P7:P14)</f>
        <v>78238.11</v>
      </c>
      <c r="Q15" s="25" t="s">
        <v>173</v>
      </c>
      <c r="R15" s="13">
        <f>SUM(F15,K15)/6</f>
        <v>185346.10166666665</v>
      </c>
    </row>
    <row r="16" spans="2:20" x14ac:dyDescent="0.2">
      <c r="E16" s="25" t="s">
        <v>175</v>
      </c>
      <c r="F16" s="13">
        <f>SUM(F7:F12)/6</f>
        <v>2511.7016666666664</v>
      </c>
      <c r="K16" s="13">
        <f>SUM(K7:K12)/6</f>
        <v>182834.4</v>
      </c>
      <c r="P16" s="13">
        <f>SUM(P7:P12)/6</f>
        <v>11207.563333333334</v>
      </c>
      <c r="Q16" s="25" t="s">
        <v>174</v>
      </c>
      <c r="R16" s="13">
        <f>SUM(F16:K16)</f>
        <v>185346.10166666665</v>
      </c>
    </row>
    <row r="19" spans="4:11" x14ac:dyDescent="0.2">
      <c r="D19" s="96" t="s">
        <v>159</v>
      </c>
      <c r="E19" s="96"/>
      <c r="F19" s="13">
        <f>SUM(F7:F13)</f>
        <v>15070.21</v>
      </c>
    </row>
    <row r="20" spans="4:11" ht="15" x14ac:dyDescent="0.35">
      <c r="D20" s="96"/>
      <c r="E20" s="96"/>
      <c r="F20" s="17">
        <f>SUM(K7:K13)</f>
        <v>1097006.3999999999</v>
      </c>
      <c r="K20" s="13"/>
    </row>
    <row r="21" spans="4:11" x14ac:dyDescent="0.2">
      <c r="D21" s="97" t="s">
        <v>160</v>
      </c>
      <c r="E21" s="97"/>
      <c r="F21" s="23">
        <f>SUM(F19:F20)</f>
        <v>1112076.6099999999</v>
      </c>
      <c r="K21" s="13"/>
    </row>
    <row r="22" spans="4:11" x14ac:dyDescent="0.2">
      <c r="E22" s="24" t="s">
        <v>76</v>
      </c>
      <c r="F22" s="13">
        <f>F21/6</f>
        <v>185346.10166666665</v>
      </c>
    </row>
    <row r="24" spans="4:11" x14ac:dyDescent="0.2">
      <c r="D24" s="12" t="s">
        <v>106</v>
      </c>
      <c r="F24" s="13">
        <f>AVERAGE(P7:P13)</f>
        <v>13039.684999999999</v>
      </c>
    </row>
    <row r="26" spans="4:11" x14ac:dyDescent="0.2">
      <c r="D26" s="21" t="s">
        <v>157</v>
      </c>
      <c r="F26" s="22">
        <v>1622119.27</v>
      </c>
    </row>
    <row r="27" spans="4:11" x14ac:dyDescent="0.2">
      <c r="E27" s="24" t="s">
        <v>76</v>
      </c>
      <c r="F27" s="15">
        <v>135176.60583333333</v>
      </c>
    </row>
    <row r="28" spans="4:11" x14ac:dyDescent="0.2">
      <c r="F28" s="15"/>
    </row>
    <row r="29" spans="4:11" x14ac:dyDescent="0.2">
      <c r="D29" s="21" t="s">
        <v>158</v>
      </c>
      <c r="F29" s="22">
        <v>1083536.03</v>
      </c>
    </row>
    <row r="30" spans="4:11" x14ac:dyDescent="0.2">
      <c r="E30" s="24" t="s">
        <v>76</v>
      </c>
      <c r="F30" s="4">
        <v>180589.33833333335</v>
      </c>
    </row>
    <row r="32" spans="4:11" x14ac:dyDescent="0.2">
      <c r="D32" s="21" t="s">
        <v>163</v>
      </c>
      <c r="F32" s="23">
        <f>F21-F29</f>
        <v>28540.579999999842</v>
      </c>
    </row>
    <row r="33" spans="5:6" x14ac:dyDescent="0.2">
      <c r="E33" s="24" t="s">
        <v>76</v>
      </c>
      <c r="F33" s="13">
        <f>F22-F30</f>
        <v>4756.7633333333069</v>
      </c>
    </row>
  </sheetData>
  <mergeCells count="5">
    <mergeCell ref="D19:E20"/>
    <mergeCell ref="D21:E21"/>
    <mergeCell ref="D5:F5"/>
    <mergeCell ref="I5:K5"/>
    <mergeCell ref="N5:P5"/>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6AB59B-AA9F-481B-B9EF-E2103FA0DE0A}">
  <dimension ref="A1:AB69"/>
  <sheetViews>
    <sheetView workbookViewId="0">
      <selection activeCell="G3" sqref="G3"/>
    </sheetView>
  </sheetViews>
  <sheetFormatPr defaultRowHeight="12.75" x14ac:dyDescent="0.2"/>
  <cols>
    <col min="1" max="1" width="11.33203125" bestFit="1" customWidth="1"/>
    <col min="2" max="2" width="32.5" bestFit="1" customWidth="1"/>
    <col min="3" max="3" width="14.1640625" style="28" bestFit="1" customWidth="1"/>
    <col min="4" max="4" width="12.83203125" style="28" bestFit="1" customWidth="1"/>
    <col min="5" max="5" width="12.1640625" bestFit="1" customWidth="1"/>
    <col min="6" max="6" width="24.83203125" bestFit="1" customWidth="1"/>
    <col min="7" max="7" width="12.5" bestFit="1" customWidth="1"/>
    <col min="9" max="9" width="6.33203125" bestFit="1" customWidth="1"/>
    <col min="10" max="10" width="12.5" style="28" bestFit="1" customWidth="1"/>
    <col min="12" max="12" width="7.83203125" bestFit="1" customWidth="1"/>
    <col min="13" max="13" width="12.5" style="28" bestFit="1" customWidth="1"/>
    <col min="15" max="15" width="7.1640625" bestFit="1" customWidth="1"/>
    <col min="16" max="16" width="12.5" style="28" bestFit="1" customWidth="1"/>
    <col min="18" max="18" width="7" bestFit="1" customWidth="1"/>
    <col min="19" max="19" width="12.5" style="28" bestFit="1" customWidth="1"/>
    <col min="21" max="21" width="7.6640625" bestFit="1" customWidth="1"/>
    <col min="22" max="22" width="12.5" style="28" bestFit="1" customWidth="1"/>
    <col min="24" max="24" width="7.33203125" bestFit="1" customWidth="1"/>
    <col min="25" max="25" width="12.5" style="28" bestFit="1" customWidth="1"/>
  </cols>
  <sheetData>
    <row r="1" spans="1:28" x14ac:dyDescent="0.2">
      <c r="B1" t="s">
        <v>10</v>
      </c>
    </row>
    <row r="2" spans="1:28" ht="15" x14ac:dyDescent="0.2">
      <c r="B2" t="s">
        <v>13</v>
      </c>
      <c r="G2" s="30">
        <f>AVERAGE(J2,M2,P2,S2,V2,Y2)</f>
        <v>182829.63666666663</v>
      </c>
      <c r="J2" s="29">
        <f>SUM(J3:J33)</f>
        <v>227085.13999999998</v>
      </c>
      <c r="M2" s="29">
        <f>SUM(M3:M33)</f>
        <v>175476</v>
      </c>
      <c r="P2" s="29">
        <f>SUM(P3:P33)</f>
        <v>180241.84</v>
      </c>
      <c r="S2" s="29">
        <f>SUM(S3:S33)</f>
        <v>223953.84</v>
      </c>
      <c r="V2" s="29">
        <f>SUM(V3:V33)</f>
        <v>143527</v>
      </c>
      <c r="Y2" s="29">
        <f>SUM(Y3:Y33)</f>
        <v>146694</v>
      </c>
      <c r="AB2" s="29"/>
    </row>
    <row r="3" spans="1:28" x14ac:dyDescent="0.2">
      <c r="B3" t="s">
        <v>156</v>
      </c>
      <c r="I3" s="26">
        <v>45474</v>
      </c>
      <c r="J3" s="28">
        <v>227261</v>
      </c>
      <c r="L3" s="26">
        <v>45505</v>
      </c>
      <c r="M3" s="28">
        <v>185231</v>
      </c>
      <c r="O3" s="26">
        <v>45536</v>
      </c>
      <c r="P3" s="28">
        <v>183290</v>
      </c>
      <c r="R3" s="26">
        <v>45566</v>
      </c>
      <c r="S3" s="28">
        <v>228002</v>
      </c>
      <c r="U3" s="26">
        <v>45597</v>
      </c>
      <c r="V3" s="28">
        <v>147927</v>
      </c>
      <c r="X3" s="26">
        <v>45627</v>
      </c>
      <c r="Y3" s="28">
        <v>146694</v>
      </c>
      <c r="AA3" s="26"/>
      <c r="AB3" s="28"/>
    </row>
    <row r="4" spans="1:28" x14ac:dyDescent="0.2">
      <c r="I4" s="27" t="s">
        <v>176</v>
      </c>
      <c r="J4" s="28">
        <v>-39.6</v>
      </c>
      <c r="L4" s="27" t="s">
        <v>176</v>
      </c>
      <c r="M4" s="28">
        <v>-755</v>
      </c>
      <c r="O4" s="27" t="s">
        <v>176</v>
      </c>
      <c r="P4" s="28">
        <v>-48.16</v>
      </c>
      <c r="R4" s="27" t="s">
        <v>176</v>
      </c>
      <c r="S4" s="28">
        <v>-48.16</v>
      </c>
      <c r="U4" s="27" t="s">
        <v>176</v>
      </c>
      <c r="V4" s="28">
        <v>-200</v>
      </c>
      <c r="X4" s="27" t="s">
        <v>176</v>
      </c>
      <c r="AA4" s="27"/>
      <c r="AB4" s="28"/>
    </row>
    <row r="5" spans="1:28" x14ac:dyDescent="0.2">
      <c r="B5" t="s">
        <v>35</v>
      </c>
      <c r="J5" s="28">
        <v>-76.25</v>
      </c>
      <c r="M5" s="28">
        <v>-9000</v>
      </c>
      <c r="P5" s="28">
        <v>-3000</v>
      </c>
      <c r="S5" s="28">
        <v>-4000</v>
      </c>
      <c r="V5" s="28">
        <v>-3800</v>
      </c>
    </row>
    <row r="6" spans="1:28" x14ac:dyDescent="0.2">
      <c r="B6" t="s">
        <v>36</v>
      </c>
      <c r="C6" s="28" t="s">
        <v>155</v>
      </c>
      <c r="J6" s="28">
        <v>-60.01</v>
      </c>
      <c r="V6" s="28">
        <v>-400</v>
      </c>
    </row>
    <row r="7" spans="1:28" x14ac:dyDescent="0.2">
      <c r="A7">
        <v>42600</v>
      </c>
      <c r="B7" t="s">
        <v>17</v>
      </c>
      <c r="C7" s="28">
        <v>1083536.03</v>
      </c>
      <c r="D7" s="28">
        <v>180589.338333333</v>
      </c>
    </row>
    <row r="8" spans="1:28" x14ac:dyDescent="0.2">
      <c r="B8" t="s">
        <v>1</v>
      </c>
      <c r="C8" s="28">
        <v>1083536.03</v>
      </c>
      <c r="D8" s="28">
        <v>180589.33833333335</v>
      </c>
    </row>
    <row r="9" spans="1:28" x14ac:dyDescent="0.2">
      <c r="B9" t="s">
        <v>2</v>
      </c>
      <c r="D9" s="28" t="s">
        <v>177</v>
      </c>
    </row>
    <row r="10" spans="1:28" x14ac:dyDescent="0.2">
      <c r="A10">
        <v>50200</v>
      </c>
      <c r="B10" t="s">
        <v>18</v>
      </c>
      <c r="C10" s="28">
        <v>430</v>
      </c>
      <c r="D10" s="28">
        <v>71.666666666666671</v>
      </c>
      <c r="F10" t="s">
        <v>66</v>
      </c>
    </row>
    <row r="11" spans="1:28" x14ac:dyDescent="0.2">
      <c r="A11">
        <v>50400</v>
      </c>
      <c r="B11" t="s">
        <v>45</v>
      </c>
      <c r="C11" s="28">
        <v>156000</v>
      </c>
      <c r="D11" s="28">
        <f>C11/6</f>
        <v>26000</v>
      </c>
      <c r="F11" t="s">
        <v>58</v>
      </c>
    </row>
    <row r="12" spans="1:28" x14ac:dyDescent="0.2">
      <c r="A12">
        <v>53600</v>
      </c>
      <c r="B12" t="s">
        <v>20</v>
      </c>
      <c r="C12" s="28">
        <v>983758.35</v>
      </c>
      <c r="D12" s="28">
        <v>163959.72500000001</v>
      </c>
      <c r="F12" t="s">
        <v>60</v>
      </c>
    </row>
    <row r="13" spans="1:28" x14ac:dyDescent="0.2">
      <c r="A13">
        <v>53800</v>
      </c>
      <c r="B13" t="s">
        <v>46</v>
      </c>
      <c r="C13" s="28">
        <v>827.5</v>
      </c>
      <c r="D13" s="28">
        <v>137.91666666666666</v>
      </c>
      <c r="F13" t="s">
        <v>69</v>
      </c>
    </row>
    <row r="14" spans="1:28" x14ac:dyDescent="0.2">
      <c r="A14">
        <v>54100</v>
      </c>
      <c r="B14" t="s">
        <v>47</v>
      </c>
      <c r="C14" s="28">
        <v>280.02</v>
      </c>
      <c r="D14" s="28">
        <v>46.669999999999995</v>
      </c>
      <c r="F14" t="s">
        <v>66</v>
      </c>
    </row>
    <row r="15" spans="1:28" x14ac:dyDescent="0.2">
      <c r="B15" t="s">
        <v>37</v>
      </c>
      <c r="C15" s="28">
        <v>984533.83</v>
      </c>
      <c r="D15" s="28">
        <v>164088.97166666665</v>
      </c>
    </row>
    <row r="16" spans="1:28" x14ac:dyDescent="0.2">
      <c r="B16" t="s">
        <v>38</v>
      </c>
      <c r="C16" s="28">
        <v>99002.2</v>
      </c>
      <c r="D16" s="28">
        <v>16500.366666666665</v>
      </c>
    </row>
    <row r="17" spans="1:6" x14ac:dyDescent="0.2">
      <c r="D17" s="28" t="s">
        <v>177</v>
      </c>
    </row>
    <row r="18" spans="1:6" x14ac:dyDescent="0.2">
      <c r="B18" t="s">
        <v>39</v>
      </c>
      <c r="D18" s="28" t="s">
        <v>177</v>
      </c>
    </row>
    <row r="19" spans="1:6" x14ac:dyDescent="0.2">
      <c r="A19">
        <v>60000</v>
      </c>
      <c r="B19" t="s">
        <v>21</v>
      </c>
      <c r="C19" s="28">
        <v>8797.9</v>
      </c>
      <c r="D19" s="28">
        <v>1466.3166666666666</v>
      </c>
      <c r="F19" t="s">
        <v>73</v>
      </c>
    </row>
    <row r="20" spans="1:6" x14ac:dyDescent="0.2">
      <c r="A20">
        <v>60100</v>
      </c>
      <c r="B20" t="s">
        <v>22</v>
      </c>
      <c r="C20" s="28">
        <v>12677.81</v>
      </c>
      <c r="D20" s="28">
        <v>2112.9683333333332</v>
      </c>
      <c r="F20" t="s">
        <v>70</v>
      </c>
    </row>
    <row r="21" spans="1:6" x14ac:dyDescent="0.2">
      <c r="A21">
        <v>60200</v>
      </c>
      <c r="B21" t="s">
        <v>23</v>
      </c>
      <c r="C21" s="28">
        <v>8146.2</v>
      </c>
      <c r="D21" s="28">
        <v>1357.7</v>
      </c>
      <c r="F21" t="s">
        <v>64</v>
      </c>
    </row>
    <row r="22" spans="1:6" x14ac:dyDescent="0.2">
      <c r="A22">
        <v>60400</v>
      </c>
      <c r="B22" t="s">
        <v>24</v>
      </c>
      <c r="C22" s="28">
        <v>801.74</v>
      </c>
      <c r="D22" s="28">
        <v>133.62333333333333</v>
      </c>
      <c r="F22" t="s">
        <v>71</v>
      </c>
    </row>
    <row r="23" spans="1:6" x14ac:dyDescent="0.2">
      <c r="A23">
        <v>61400</v>
      </c>
      <c r="B23" t="s">
        <v>49</v>
      </c>
      <c r="C23" s="28">
        <v>3388.8</v>
      </c>
      <c r="D23" s="28">
        <v>564.80000000000007</v>
      </c>
    </row>
    <row r="24" spans="1:6" x14ac:dyDescent="0.2">
      <c r="A24">
        <v>61700</v>
      </c>
      <c r="B24" t="s">
        <v>50</v>
      </c>
      <c r="C24" s="28">
        <v>926.6</v>
      </c>
      <c r="D24" s="28">
        <v>154.43333333333334</v>
      </c>
      <c r="F24" t="s">
        <v>63</v>
      </c>
    </row>
    <row r="25" spans="1:6" x14ac:dyDescent="0.2">
      <c r="A25">
        <v>62500</v>
      </c>
      <c r="B25" t="s">
        <v>25</v>
      </c>
      <c r="C25" s="28">
        <v>1499.34</v>
      </c>
      <c r="D25" s="28">
        <v>249.89</v>
      </c>
      <c r="F25" t="s">
        <v>72</v>
      </c>
    </row>
    <row r="26" spans="1:6" x14ac:dyDescent="0.2">
      <c r="D26" s="28" t="s">
        <v>177</v>
      </c>
    </row>
    <row r="27" spans="1:6" x14ac:dyDescent="0.2">
      <c r="A27">
        <v>63300</v>
      </c>
      <c r="B27" t="s">
        <v>26</v>
      </c>
      <c r="D27" s="28" t="s">
        <v>177</v>
      </c>
    </row>
    <row r="28" spans="1:6" x14ac:dyDescent="0.2">
      <c r="A28">
        <v>63320</v>
      </c>
      <c r="B28" t="s">
        <v>27</v>
      </c>
      <c r="C28" s="28">
        <v>400</v>
      </c>
      <c r="D28" s="28">
        <v>66.666666666666671</v>
      </c>
      <c r="F28" t="s">
        <v>66</v>
      </c>
    </row>
    <row r="29" spans="1:6" x14ac:dyDescent="0.2">
      <c r="A29">
        <v>63330</v>
      </c>
      <c r="B29" t="s">
        <v>51</v>
      </c>
      <c r="C29" s="28">
        <v>2957.5</v>
      </c>
      <c r="D29" s="28">
        <v>492.91666666666669</v>
      </c>
      <c r="F29" t="s">
        <v>66</v>
      </c>
    </row>
    <row r="30" spans="1:6" x14ac:dyDescent="0.2">
      <c r="A30">
        <v>63300</v>
      </c>
      <c r="B30" t="s">
        <v>52</v>
      </c>
      <c r="C30" s="28">
        <v>3803.36</v>
      </c>
      <c r="D30" s="28">
        <v>633.89333333333332</v>
      </c>
      <c r="F30" t="s">
        <v>66</v>
      </c>
    </row>
    <row r="31" spans="1:6" x14ac:dyDescent="0.2">
      <c r="A31" t="s">
        <v>16</v>
      </c>
      <c r="B31" t="s">
        <v>26</v>
      </c>
      <c r="C31" s="28">
        <v>7160.86</v>
      </c>
      <c r="D31" s="28">
        <v>1193.4766666666667</v>
      </c>
    </row>
    <row r="32" spans="1:6" x14ac:dyDescent="0.2">
      <c r="D32" s="28" t="s">
        <v>177</v>
      </c>
    </row>
    <row r="33" spans="1:6" x14ac:dyDescent="0.2">
      <c r="A33">
        <v>64300</v>
      </c>
      <c r="B33" t="s">
        <v>29</v>
      </c>
      <c r="C33" s="28">
        <v>13573.58</v>
      </c>
      <c r="D33" s="28">
        <v>2262.2633333333333</v>
      </c>
      <c r="F33" t="s">
        <v>73</v>
      </c>
    </row>
    <row r="34" spans="1:6" x14ac:dyDescent="0.2">
      <c r="A34">
        <v>64700</v>
      </c>
      <c r="B34" t="s">
        <v>53</v>
      </c>
      <c r="C34" s="28">
        <v>-144.65</v>
      </c>
      <c r="D34" s="28">
        <v>-24.108333333333334</v>
      </c>
    </row>
    <row r="35" spans="1:6" x14ac:dyDescent="0.2">
      <c r="A35">
        <v>64900</v>
      </c>
      <c r="B35" t="s">
        <v>54</v>
      </c>
      <c r="C35" s="28">
        <v>2840.75</v>
      </c>
      <c r="D35" s="28">
        <v>473.45833333333331</v>
      </c>
      <c r="F35" t="s">
        <v>62</v>
      </c>
    </row>
    <row r="36" spans="1:6" x14ac:dyDescent="0.2">
      <c r="A36">
        <v>66000</v>
      </c>
      <c r="B36" t="s">
        <v>30</v>
      </c>
      <c r="C36" s="28">
        <v>52375</v>
      </c>
      <c r="D36" s="28">
        <v>8729.1666666666661</v>
      </c>
      <c r="F36" t="s">
        <v>60</v>
      </c>
    </row>
    <row r="37" spans="1:6" x14ac:dyDescent="0.2">
      <c r="A37">
        <v>66500</v>
      </c>
      <c r="B37" t="s">
        <v>55</v>
      </c>
      <c r="C37" s="28">
        <v>73</v>
      </c>
      <c r="D37" s="28">
        <v>12.166666666666666</v>
      </c>
      <c r="F37" t="s">
        <v>74</v>
      </c>
    </row>
    <row r="38" spans="1:6" x14ac:dyDescent="0.2">
      <c r="A38">
        <v>66700</v>
      </c>
      <c r="B38" t="s">
        <v>56</v>
      </c>
      <c r="C38" s="28">
        <v>2400</v>
      </c>
      <c r="D38" s="28">
        <v>400</v>
      </c>
      <c r="F38" t="s">
        <v>72</v>
      </c>
    </row>
    <row r="39" spans="1:6" x14ac:dyDescent="0.2">
      <c r="A39">
        <v>67100</v>
      </c>
      <c r="B39" t="s">
        <v>57</v>
      </c>
      <c r="C39" s="28">
        <v>4500</v>
      </c>
      <c r="D39" s="28">
        <v>750</v>
      </c>
      <c r="F39" t="s">
        <v>61</v>
      </c>
    </row>
    <row r="40" spans="1:6" x14ac:dyDescent="0.2">
      <c r="A40">
        <v>68100</v>
      </c>
      <c r="B40" t="s">
        <v>31</v>
      </c>
      <c r="C40" s="28">
        <v>7195.48</v>
      </c>
      <c r="D40" s="28">
        <v>1199.2466666666667</v>
      </c>
      <c r="F40" t="s">
        <v>63</v>
      </c>
    </row>
    <row r="41" spans="1:6" x14ac:dyDescent="0.2">
      <c r="A41">
        <v>68600</v>
      </c>
      <c r="B41" t="s">
        <v>32</v>
      </c>
      <c r="C41" s="28">
        <v>3591.26</v>
      </c>
      <c r="D41" s="28">
        <v>598.54333333333341</v>
      </c>
      <c r="F41" t="s">
        <v>63</v>
      </c>
    </row>
    <row r="42" spans="1:6" x14ac:dyDescent="0.2">
      <c r="B42" t="s">
        <v>5</v>
      </c>
      <c r="C42" s="28">
        <v>129803.67</v>
      </c>
      <c r="D42" s="28">
        <v>21633.945</v>
      </c>
    </row>
    <row r="43" spans="1:6" x14ac:dyDescent="0.2">
      <c r="B43" t="s">
        <v>6</v>
      </c>
      <c r="C43" s="28">
        <v>-30801.47</v>
      </c>
      <c r="D43" s="28">
        <v>-5133.5783333333338</v>
      </c>
    </row>
    <row r="44" spans="1:6" x14ac:dyDescent="0.2">
      <c r="B44" t="s">
        <v>3</v>
      </c>
      <c r="D44" s="28" t="s">
        <v>177</v>
      </c>
    </row>
    <row r="45" spans="1:6" x14ac:dyDescent="0.2">
      <c r="B45" t="s">
        <v>40</v>
      </c>
      <c r="D45" s="28" t="s">
        <v>177</v>
      </c>
    </row>
    <row r="46" spans="1:6" x14ac:dyDescent="0.2">
      <c r="A46">
        <v>68000</v>
      </c>
      <c r="B46" t="s">
        <v>33</v>
      </c>
      <c r="C46" s="28">
        <v>57375.02</v>
      </c>
      <c r="D46" s="28">
        <v>9562.5033333333322</v>
      </c>
    </row>
    <row r="47" spans="1:6" x14ac:dyDescent="0.2">
      <c r="B47" t="s">
        <v>41</v>
      </c>
      <c r="C47" s="28">
        <v>57375.02</v>
      </c>
      <c r="D47" s="28">
        <v>9562.5033333333322</v>
      </c>
    </row>
    <row r="48" spans="1:6" x14ac:dyDescent="0.2">
      <c r="B48" t="s">
        <v>42</v>
      </c>
      <c r="C48" s="28">
        <v>-57375.02</v>
      </c>
      <c r="D48" s="28">
        <v>-9562.5033333333322</v>
      </c>
    </row>
    <row r="49" spans="2:5" x14ac:dyDescent="0.2">
      <c r="B49" t="s">
        <v>43</v>
      </c>
      <c r="C49" s="28">
        <v>-88176.49</v>
      </c>
      <c r="D49" s="28">
        <v>-14696.081666666667</v>
      </c>
    </row>
    <row r="54" spans="2:5" x14ac:dyDescent="0.2">
      <c r="B54" t="s">
        <v>1</v>
      </c>
      <c r="C54" s="28">
        <v>180589</v>
      </c>
    </row>
    <row r="56" spans="2:5" x14ac:dyDescent="0.2">
      <c r="B56" t="s">
        <v>168</v>
      </c>
    </row>
    <row r="57" spans="2:5" x14ac:dyDescent="0.2">
      <c r="B57" t="s">
        <v>58</v>
      </c>
      <c r="C57" s="28">
        <f>SUMIF(F7:F49,B57,D7:D49)</f>
        <v>26000</v>
      </c>
    </row>
    <row r="58" spans="2:5" x14ac:dyDescent="0.2">
      <c r="B58" t="s">
        <v>59</v>
      </c>
    </row>
    <row r="59" spans="2:5" x14ac:dyDescent="0.2">
      <c r="B59" t="s">
        <v>60</v>
      </c>
      <c r="C59" s="28">
        <v>75667.189999999988</v>
      </c>
      <c r="D59" s="28">
        <v>0.55976542341427205</v>
      </c>
      <c r="E59">
        <v>101087.47804895998</v>
      </c>
    </row>
    <row r="60" spans="2:5" x14ac:dyDescent="0.2">
      <c r="B60" t="s">
        <v>61</v>
      </c>
      <c r="C60" s="28">
        <v>762.52333333333343</v>
      </c>
      <c r="D60" s="28">
        <v>5.6409415566587781E-3</v>
      </c>
      <c r="E60">
        <v>1018.691994775452</v>
      </c>
    </row>
    <row r="61" spans="2:5" x14ac:dyDescent="0.2">
      <c r="B61" t="s">
        <v>62</v>
      </c>
      <c r="C61" s="28">
        <v>382.00749999999999</v>
      </c>
      <c r="D61" s="28">
        <v>2.8259882517763322E-3</v>
      </c>
      <c r="E61">
        <v>510.34239240003603</v>
      </c>
    </row>
    <row r="62" spans="2:5" x14ac:dyDescent="0.2">
      <c r="B62" t="s">
        <v>63</v>
      </c>
      <c r="C62" s="28">
        <v>1699.5766666666666</v>
      </c>
      <c r="D62" s="28">
        <v>1.2573008888551085E-2</v>
      </c>
      <c r="E62">
        <v>2270.547102174552</v>
      </c>
    </row>
    <row r="63" spans="2:5" x14ac:dyDescent="0.2">
      <c r="B63" t="s">
        <v>169</v>
      </c>
      <c r="C63" s="28">
        <v>1336</v>
      </c>
      <c r="D63" s="28">
        <v>9.8882741217913017E-3</v>
      </c>
      <c r="E63">
        <v>1785.7135353801693</v>
      </c>
    </row>
    <row r="64" spans="2:5" x14ac:dyDescent="0.2">
      <c r="B64" t="s">
        <v>65</v>
      </c>
      <c r="C64" s="28">
        <v>0</v>
      </c>
    </row>
    <row r="65" spans="2:5" x14ac:dyDescent="0.2">
      <c r="B65" t="s">
        <v>66</v>
      </c>
      <c r="C65" s="28">
        <v>1283.4008333333334</v>
      </c>
      <c r="D65" s="28">
        <v>9.4942525403819405E-3</v>
      </c>
      <c r="E65">
        <v>1714.5575720150343</v>
      </c>
    </row>
    <row r="66" spans="2:5" x14ac:dyDescent="0.2">
      <c r="B66" t="s">
        <v>67</v>
      </c>
      <c r="D66" s="28">
        <v>0</v>
      </c>
    </row>
    <row r="67" spans="2:5" x14ac:dyDescent="0.2">
      <c r="B67" t="s">
        <v>172</v>
      </c>
      <c r="C67" s="28">
        <v>6104.8866666666672</v>
      </c>
      <c r="D67" s="28">
        <v>4.5162301783148166E-2</v>
      </c>
      <c r="E67">
        <v>8155.814916716944</v>
      </c>
    </row>
    <row r="68" spans="2:5" x14ac:dyDescent="0.2">
      <c r="B68" t="s">
        <v>170</v>
      </c>
      <c r="C68" s="28">
        <f>SUM(C57:C67)</f>
        <v>113235.58499999999</v>
      </c>
    </row>
    <row r="69" spans="2:5" x14ac:dyDescent="0.2">
      <c r="B69" t="s">
        <v>171</v>
      </c>
      <c r="C69" s="28">
        <f>C54-C68</f>
        <v>67353.415000000008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2605BD-CA72-4D71-B49A-56582F535C92}">
  <dimension ref="B1:B21"/>
  <sheetViews>
    <sheetView workbookViewId="0">
      <selection activeCell="H17" sqref="H17"/>
    </sheetView>
  </sheetViews>
  <sheetFormatPr defaultRowHeight="12.75" x14ac:dyDescent="0.2"/>
  <cols>
    <col min="2" max="2" width="24.83203125" bestFit="1" customWidth="1"/>
  </cols>
  <sheetData>
    <row r="1" spans="2:2" x14ac:dyDescent="0.2">
      <c r="B1" s="27" t="s">
        <v>182</v>
      </c>
    </row>
    <row r="2" spans="2:2" x14ac:dyDescent="0.2">
      <c r="B2" t="s">
        <v>58</v>
      </c>
    </row>
    <row r="3" spans="2:2" x14ac:dyDescent="0.2">
      <c r="B3" t="s">
        <v>59</v>
      </c>
    </row>
    <row r="4" spans="2:2" x14ac:dyDescent="0.2">
      <c r="B4" t="s">
        <v>60</v>
      </c>
    </row>
    <row r="5" spans="2:2" x14ac:dyDescent="0.2">
      <c r="B5" t="s">
        <v>61</v>
      </c>
    </row>
    <row r="6" spans="2:2" x14ac:dyDescent="0.2">
      <c r="B6" t="s">
        <v>62</v>
      </c>
    </row>
    <row r="7" spans="2:2" x14ac:dyDescent="0.2">
      <c r="B7" t="s">
        <v>63</v>
      </c>
    </row>
    <row r="8" spans="2:2" x14ac:dyDescent="0.2">
      <c r="B8" t="s">
        <v>64</v>
      </c>
    </row>
    <row r="9" spans="2:2" x14ac:dyDescent="0.2">
      <c r="B9" t="s">
        <v>65</v>
      </c>
    </row>
    <row r="10" spans="2:2" x14ac:dyDescent="0.2">
      <c r="B10" t="s">
        <v>66</v>
      </c>
    </row>
    <row r="11" spans="2:2" x14ac:dyDescent="0.2">
      <c r="B11" t="s">
        <v>67</v>
      </c>
    </row>
    <row r="12" spans="2:2" x14ac:dyDescent="0.2">
      <c r="B12" t="s">
        <v>68</v>
      </c>
    </row>
    <row r="13" spans="2:2" x14ac:dyDescent="0.2">
      <c r="B13" t="s">
        <v>69</v>
      </c>
    </row>
    <row r="14" spans="2:2" x14ac:dyDescent="0.2">
      <c r="B14" t="s">
        <v>73</v>
      </c>
    </row>
    <row r="15" spans="2:2" x14ac:dyDescent="0.2">
      <c r="B15" t="s">
        <v>70</v>
      </c>
    </row>
    <row r="16" spans="2:2" x14ac:dyDescent="0.2">
      <c r="B16" t="s">
        <v>71</v>
      </c>
    </row>
    <row r="17" spans="2:2" x14ac:dyDescent="0.2">
      <c r="B17" t="s">
        <v>72</v>
      </c>
    </row>
    <row r="18" spans="2:2" x14ac:dyDescent="0.2">
      <c r="B18" t="s">
        <v>74</v>
      </c>
    </row>
    <row r="19" spans="2:2" x14ac:dyDescent="0.2">
      <c r="B19" t="s">
        <v>107</v>
      </c>
    </row>
    <row r="20" spans="2:2" x14ac:dyDescent="0.2">
      <c r="B20" t="s">
        <v>107</v>
      </c>
    </row>
    <row r="21" spans="2:2" x14ac:dyDescent="0.2">
      <c r="B21" t="s">
        <v>107</v>
      </c>
    </row>
  </sheetData>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P&amp;Ls</vt:lpstr>
      <vt:lpstr>Personal 433</vt:lpstr>
      <vt:lpstr>Business 433</vt:lpstr>
      <vt:lpstr>9297</vt:lpstr>
      <vt:lpstr>Income</vt:lpstr>
      <vt:lpstr>Sheet1</vt:lpstr>
      <vt:lpstr>DataSheet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Collins</dc:creator>
  <cp:lastModifiedBy>David Collins</cp:lastModifiedBy>
  <dcterms:created xsi:type="dcterms:W3CDTF">2025-01-29T19:27:07Z</dcterms:created>
  <dcterms:modified xsi:type="dcterms:W3CDTF">2025-02-18T19:16:56Z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reated">
    <vt:filetime>2025-01-22T00:00:00Z</vt:filetime>
  </property>
  <property fmtid="{D5CDD505-2E9C-101B-9397-08002B2CF9AE}" pid="3" name="Creator">
    <vt:lpwstr>Hewlett-Packard MFP</vt:lpwstr>
  </property>
  <property fmtid="{D5CDD505-2E9C-101B-9397-08002B2CF9AE}" pid="4" name="LastSaved">
    <vt:filetime>2025-01-22T00:00:00Z</vt:filetime>
  </property>
</Properties>
</file>